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hin\Downloads\incometaxcalculator\"/>
    </mc:Choice>
  </mc:AlternateContent>
  <workbookProtection workbookAlgorithmName="SHA-512" workbookHashValue="Ie7L6IIYX6UHMnuzJac3eazq/LS/7U+PNkNa1BsMzBq/VLvs8QW4SsXVpG0JHAMf3qSZROTOAyxW/ZFo05JguA==" workbookSaltValue="RrE8yQIob9+FCuhazAdAPw==" workbookSpinCount="100000" lockStructure="1"/>
  <bookViews>
    <workbookView xWindow="0" yWindow="0" windowWidth="18045" windowHeight="8655" activeTab="2"/>
  </bookViews>
  <sheets>
    <sheet name="2019-ytd_per_month-tax-Cals " sheetId="13" r:id="rId1"/>
    <sheet name="2019-ytd_per_fnigth-tax-Cals" sheetId="10" r:id="rId2"/>
    <sheet name="2019-ytd_per_weekly-tax-Cal" sheetId="14" r:id="rId3"/>
    <sheet name="Sheet1" sheetId="11" r:id="rId4"/>
    <sheet name="selfemployed" sheetId="4" state="hidden" r:id="rId5"/>
    <sheet name="Sheet2" sheetId="5" state="hidden" r:id="rId6"/>
    <sheet name="Scenario1" sheetId="6" state="hidden" r:id="rId7"/>
    <sheet name="Scenario2" sheetId="7" state="hidden" r:id="rId8"/>
    <sheet name="Sheet3" sheetId="8" state="hidden" r:id="rId9"/>
    <sheet name="Sheet4" sheetId="9" state="hidden" r:id="rId10"/>
  </sheets>
  <definedNames>
    <definedName name="_xlnm._FilterDatabase" localSheetId="6" hidden="1">Scenario1!$A$2:$P$2</definedName>
    <definedName name="_xlnm._FilterDatabase" localSheetId="7" hidden="1">Scenario2!$A$2:$O$2</definedName>
  </definedNames>
  <calcPr calcId="162913"/>
</workbook>
</file>

<file path=xl/calcChain.xml><?xml version="1.0" encoding="utf-8"?>
<calcChain xmlns="http://schemas.openxmlformats.org/spreadsheetml/2006/main">
  <c r="D50" i="14" l="1"/>
  <c r="I27" i="10"/>
  <c r="D3" i="10"/>
  <c r="G5" i="14" l="1"/>
  <c r="F5" i="14"/>
  <c r="E5" i="14"/>
  <c r="D5" i="14"/>
  <c r="E5" i="10"/>
  <c r="D5" i="10"/>
  <c r="D5" i="13"/>
  <c r="E29" i="10" l="1"/>
  <c r="F29" i="10"/>
  <c r="G29" i="10"/>
  <c r="H29" i="10"/>
  <c r="I29" i="10"/>
  <c r="J29" i="10"/>
  <c r="K29" i="10"/>
  <c r="L29" i="10"/>
  <c r="M29" i="10"/>
  <c r="N29" i="10"/>
  <c r="O29" i="10"/>
  <c r="P29" i="10"/>
  <c r="F5" i="10"/>
  <c r="G5" i="10"/>
  <c r="H5" i="10"/>
  <c r="I5" i="10"/>
  <c r="J5" i="10"/>
  <c r="K5" i="10"/>
  <c r="L5" i="10"/>
  <c r="M5" i="10"/>
  <c r="N5" i="10"/>
  <c r="O5" i="10"/>
  <c r="P5" i="10"/>
  <c r="D29" i="10"/>
  <c r="E76" i="14"/>
  <c r="F76" i="14"/>
  <c r="G76" i="14"/>
  <c r="H76" i="14"/>
  <c r="I76" i="14"/>
  <c r="J76" i="14"/>
  <c r="K76" i="14"/>
  <c r="L76" i="14"/>
  <c r="M76" i="14"/>
  <c r="N76" i="14"/>
  <c r="O76" i="14"/>
  <c r="P76" i="14"/>
  <c r="D76" i="14"/>
  <c r="E52" i="14"/>
  <c r="F52" i="14"/>
  <c r="G52" i="14"/>
  <c r="H52" i="14"/>
  <c r="I52" i="14"/>
  <c r="J52" i="14"/>
  <c r="K52" i="14"/>
  <c r="L52" i="14"/>
  <c r="M52" i="14"/>
  <c r="N52" i="14"/>
  <c r="O52" i="14"/>
  <c r="P52" i="14"/>
  <c r="D52" i="14"/>
  <c r="E29" i="14"/>
  <c r="F29" i="14"/>
  <c r="G29" i="14"/>
  <c r="H29" i="14"/>
  <c r="I29" i="14"/>
  <c r="J29" i="14"/>
  <c r="K29" i="14"/>
  <c r="L29" i="14"/>
  <c r="M29" i="14"/>
  <c r="N29" i="14"/>
  <c r="O29" i="14"/>
  <c r="P29" i="14"/>
  <c r="D29" i="14"/>
  <c r="H5" i="14"/>
  <c r="I5" i="14"/>
  <c r="J5" i="14"/>
  <c r="K5" i="14"/>
  <c r="L5" i="14"/>
  <c r="M5" i="14"/>
  <c r="N5" i="14"/>
  <c r="O5" i="14"/>
  <c r="P5" i="14"/>
  <c r="E5" i="13"/>
  <c r="F5" i="13"/>
  <c r="G5" i="13"/>
  <c r="H5" i="13"/>
  <c r="I5" i="13"/>
  <c r="J5" i="13"/>
  <c r="K5" i="13"/>
  <c r="L5" i="13"/>
  <c r="M5" i="13"/>
  <c r="N5" i="13"/>
  <c r="O5" i="13"/>
  <c r="D27" i="10" l="1"/>
  <c r="P3" i="10"/>
  <c r="O3" i="10"/>
  <c r="M3" i="10"/>
  <c r="E3" i="10"/>
  <c r="H3" i="10"/>
  <c r="D14" i="13"/>
  <c r="D15" i="10" l="1"/>
  <c r="D14" i="14" l="1"/>
  <c r="O77" i="14" l="1"/>
  <c r="N77" i="14"/>
  <c r="M77" i="14"/>
  <c r="L77" i="14"/>
  <c r="K77" i="14"/>
  <c r="J77" i="14"/>
  <c r="I77" i="14"/>
  <c r="H77" i="14"/>
  <c r="G77" i="14"/>
  <c r="F77" i="14"/>
  <c r="E77" i="14"/>
  <c r="D77" i="14"/>
  <c r="O78" i="14"/>
  <c r="K78" i="14"/>
  <c r="G78" i="14"/>
  <c r="M53" i="14"/>
  <c r="K53" i="14"/>
  <c r="I53" i="14"/>
  <c r="F53" i="14"/>
  <c r="I54" i="14"/>
  <c r="P50" i="14"/>
  <c r="O50" i="14"/>
  <c r="N50" i="14"/>
  <c r="N53" i="14" s="1"/>
  <c r="L50" i="14"/>
  <c r="J50" i="14"/>
  <c r="J53" i="14" s="1"/>
  <c r="H50" i="14"/>
  <c r="G50" i="14"/>
  <c r="E50" i="14"/>
  <c r="E53" i="14" s="1"/>
  <c r="I30" i="14"/>
  <c r="H30" i="14"/>
  <c r="P3" i="14"/>
  <c r="O3" i="14"/>
  <c r="N3" i="14"/>
  <c r="L3" i="14"/>
  <c r="K6" i="14"/>
  <c r="J3" i="14"/>
  <c r="H3" i="14"/>
  <c r="G3" i="14"/>
  <c r="F6" i="14"/>
  <c r="E3" i="14"/>
  <c r="E6" i="14" s="1"/>
  <c r="D16" i="14"/>
  <c r="D15" i="14"/>
  <c r="M30" i="14"/>
  <c r="L30" i="14"/>
  <c r="J30" i="14"/>
  <c r="E30" i="14"/>
  <c r="D30" i="14"/>
  <c r="M30" i="10"/>
  <c r="G30" i="10"/>
  <c r="E30" i="10"/>
  <c r="P27" i="10"/>
  <c r="O27" i="10"/>
  <c r="N27" i="10"/>
  <c r="N30" i="10" s="1"/>
  <c r="L30" i="10"/>
  <c r="K27" i="10"/>
  <c r="K30" i="10" s="1"/>
  <c r="J27" i="10"/>
  <c r="J30" i="10" s="1"/>
  <c r="I30" i="10"/>
  <c r="H27" i="10"/>
  <c r="F30" i="10"/>
  <c r="N3" i="10"/>
  <c r="L3" i="10"/>
  <c r="K3" i="10"/>
  <c r="J3" i="10"/>
  <c r="I3" i="10"/>
  <c r="D16" i="13"/>
  <c r="O6" i="13"/>
  <c r="N6" i="13"/>
  <c r="M6" i="13"/>
  <c r="L6" i="13"/>
  <c r="K6" i="13"/>
  <c r="J6" i="13"/>
  <c r="I6" i="13"/>
  <c r="H6" i="13"/>
  <c r="G6" i="13"/>
  <c r="F6" i="13"/>
  <c r="E6" i="13"/>
  <c r="D6" i="13"/>
  <c r="O7" i="13"/>
  <c r="N7" i="13"/>
  <c r="M7" i="13"/>
  <c r="L7" i="13"/>
  <c r="K7" i="13"/>
  <c r="J7" i="13"/>
  <c r="I7" i="13"/>
  <c r="H7" i="13"/>
  <c r="G7" i="13"/>
  <c r="E7" i="13"/>
  <c r="D15" i="13"/>
  <c r="E15" i="13" s="1"/>
  <c r="F7" i="13" l="1"/>
  <c r="D78" i="14"/>
  <c r="D79" i="14" s="1"/>
  <c r="H78" i="14"/>
  <c r="H80" i="14" s="1"/>
  <c r="L78" i="14"/>
  <c r="L79" i="14" s="1"/>
  <c r="H53" i="14"/>
  <c r="H54" i="14" s="1"/>
  <c r="M54" i="14"/>
  <c r="M56" i="14" s="1"/>
  <c r="J6" i="14"/>
  <c r="J7" i="14" s="1"/>
  <c r="F78" i="14"/>
  <c r="F79" i="14" s="1"/>
  <c r="N78" i="14"/>
  <c r="N79" i="14" s="1"/>
  <c r="M78" i="14"/>
  <c r="M80" i="14" s="1"/>
  <c r="K7" i="14"/>
  <c r="K9" i="14" s="1"/>
  <c r="O53" i="14"/>
  <c r="O54" i="14" s="1"/>
  <c r="J78" i="14"/>
  <c r="J79" i="14" s="1"/>
  <c r="J54" i="14"/>
  <c r="J55" i="14" s="1"/>
  <c r="H6" i="14"/>
  <c r="H7" i="14" s="1"/>
  <c r="F54" i="14"/>
  <c r="F56" i="14" s="1"/>
  <c r="K54" i="14"/>
  <c r="G53" i="14"/>
  <c r="E78" i="14"/>
  <c r="I78" i="14"/>
  <c r="I80" i="14" s="1"/>
  <c r="G54" i="14"/>
  <c r="G56" i="14" s="1"/>
  <c r="J31" i="10"/>
  <c r="J33" i="10" s="1"/>
  <c r="M31" i="10"/>
  <c r="M32" i="10" s="1"/>
  <c r="I31" i="10"/>
  <c r="E31" i="10"/>
  <c r="E33" i="10" s="1"/>
  <c r="O30" i="10"/>
  <c r="K31" i="10"/>
  <c r="K33" i="10" s="1"/>
  <c r="F15" i="13"/>
  <c r="G55" i="14"/>
  <c r="I55" i="14"/>
  <c r="I56" i="14"/>
  <c r="L53" i="14"/>
  <c r="L54" i="14"/>
  <c r="G79" i="14"/>
  <c r="G80" i="14"/>
  <c r="O79" i="14"/>
  <c r="O80" i="14"/>
  <c r="K80" i="14"/>
  <c r="K79" i="14"/>
  <c r="D53" i="14"/>
  <c r="E54" i="14"/>
  <c r="N54" i="14"/>
  <c r="E31" i="14"/>
  <c r="E32" i="14" s="1"/>
  <c r="M31" i="14"/>
  <c r="M33" i="14" s="1"/>
  <c r="L31" i="14"/>
  <c r="L32" i="14" s="1"/>
  <c r="F30" i="14"/>
  <c r="F31" i="14" s="1"/>
  <c r="F32" i="14" s="1"/>
  <c r="I31" i="14"/>
  <c r="N30" i="14"/>
  <c r="N31" i="14" s="1"/>
  <c r="G30" i="14"/>
  <c r="G31" i="14" s="1"/>
  <c r="G32" i="14" s="1"/>
  <c r="H31" i="14"/>
  <c r="O30" i="14"/>
  <c r="O31" i="14" s="1"/>
  <c r="N6" i="14"/>
  <c r="N7" i="14" s="1"/>
  <c r="M6" i="14"/>
  <c r="L6" i="14"/>
  <c r="L7" i="14" s="1"/>
  <c r="E15" i="14"/>
  <c r="F15" i="14" s="1"/>
  <c r="G15" i="14" s="1"/>
  <c r="D31" i="14"/>
  <c r="D32" i="14" s="1"/>
  <c r="F7" i="14"/>
  <c r="F9" i="14" s="1"/>
  <c r="O6" i="14"/>
  <c r="O7" i="14" s="1"/>
  <c r="G6" i="14"/>
  <c r="G7" i="14" s="1"/>
  <c r="D17" i="14"/>
  <c r="I6" i="14"/>
  <c r="I7" i="14" s="1"/>
  <c r="E14" i="14"/>
  <c r="E16" i="14" s="1"/>
  <c r="J31" i="14"/>
  <c r="K30" i="14"/>
  <c r="K31" i="14" s="1"/>
  <c r="D6" i="14"/>
  <c r="D7" i="14" s="1"/>
  <c r="L31" i="10"/>
  <c r="G31" i="10"/>
  <c r="O31" i="10"/>
  <c r="N31" i="10"/>
  <c r="H30" i="10"/>
  <c r="H31" i="10" s="1"/>
  <c r="F31" i="10"/>
  <c r="D30" i="10"/>
  <c r="D31" i="10" s="1"/>
  <c r="E9" i="13"/>
  <c r="E8" i="13"/>
  <c r="L8" i="13"/>
  <c r="L9" i="13"/>
  <c r="M9" i="13"/>
  <c r="M8" i="13"/>
  <c r="F9" i="13"/>
  <c r="F8" i="13"/>
  <c r="F10" i="13" s="1"/>
  <c r="N9" i="13"/>
  <c r="N8" i="13"/>
  <c r="G8" i="13"/>
  <c r="G9" i="13"/>
  <c r="O9" i="13"/>
  <c r="O8" i="13"/>
  <c r="H8" i="13"/>
  <c r="H9" i="13"/>
  <c r="I9" i="13"/>
  <c r="I8" i="13"/>
  <c r="J8" i="13"/>
  <c r="J9" i="13"/>
  <c r="K9" i="13"/>
  <c r="K8" i="13"/>
  <c r="D7" i="13"/>
  <c r="D17" i="13"/>
  <c r="E14" i="13"/>
  <c r="E16" i="13" s="1"/>
  <c r="K32" i="10" l="1"/>
  <c r="K34" i="10" s="1"/>
  <c r="M79" i="14"/>
  <c r="H79" i="14"/>
  <c r="D80" i="14"/>
  <c r="D81" i="14" s="1"/>
  <c r="D82" i="14" s="1"/>
  <c r="K8" i="14"/>
  <c r="K10" i="13"/>
  <c r="O10" i="13"/>
  <c r="M10" i="13"/>
  <c r="G15" i="13"/>
  <c r="H15" i="13" s="1"/>
  <c r="I15" i="13" s="1"/>
  <c r="J15" i="13" s="1"/>
  <c r="K15" i="13" s="1"/>
  <c r="D18" i="14"/>
  <c r="D19" i="14"/>
  <c r="E32" i="10"/>
  <c r="E34" i="10" s="1"/>
  <c r="J32" i="10"/>
  <c r="J34" i="10" s="1"/>
  <c r="D18" i="13"/>
  <c r="D19" i="13"/>
  <c r="L80" i="14"/>
  <c r="L81" i="14" s="1"/>
  <c r="J80" i="14"/>
  <c r="F55" i="14"/>
  <c r="F57" i="14" s="1"/>
  <c r="F80" i="14"/>
  <c r="F81" i="14" s="1"/>
  <c r="N80" i="14"/>
  <c r="N81" i="14" s="1"/>
  <c r="I79" i="14"/>
  <c r="I81" i="14" s="1"/>
  <c r="G57" i="14"/>
  <c r="J56" i="14"/>
  <c r="J57" i="14" s="1"/>
  <c r="M55" i="14"/>
  <c r="M57" i="14" s="1"/>
  <c r="K56" i="14"/>
  <c r="K55" i="14"/>
  <c r="M7" i="14"/>
  <c r="M8" i="14" s="1"/>
  <c r="D54" i="14"/>
  <c r="D55" i="14" s="1"/>
  <c r="E79" i="14"/>
  <c r="E80" i="14"/>
  <c r="H81" i="14"/>
  <c r="M33" i="10"/>
  <c r="K81" i="14"/>
  <c r="N56" i="14"/>
  <c r="N55" i="14"/>
  <c r="L55" i="14"/>
  <c r="L56" i="14"/>
  <c r="O81" i="14"/>
  <c r="M81" i="14"/>
  <c r="I57" i="14"/>
  <c r="G81" i="14"/>
  <c r="E56" i="14"/>
  <c r="E55" i="14"/>
  <c r="O55" i="14"/>
  <c r="O56" i="14"/>
  <c r="H56" i="14"/>
  <c r="H55" i="14"/>
  <c r="J81" i="14"/>
  <c r="M32" i="14"/>
  <c r="M34" i="14" s="1"/>
  <c r="E33" i="14"/>
  <c r="E34" i="14" s="1"/>
  <c r="N32" i="14"/>
  <c r="N33" i="14"/>
  <c r="G33" i="14"/>
  <c r="G34" i="14" s="1"/>
  <c r="L33" i="14"/>
  <c r="L34" i="14" s="1"/>
  <c r="F33" i="14"/>
  <c r="F34" i="14" s="1"/>
  <c r="D33" i="14"/>
  <c r="D34" i="14" s="1"/>
  <c r="D35" i="14" s="1"/>
  <c r="N9" i="14"/>
  <c r="N8" i="14"/>
  <c r="L9" i="14"/>
  <c r="L8" i="14"/>
  <c r="F8" i="14"/>
  <c r="F10" i="14" s="1"/>
  <c r="E7" i="14"/>
  <c r="E9" i="14" s="1"/>
  <c r="H9" i="14"/>
  <c r="H8" i="14"/>
  <c r="O9" i="14"/>
  <c r="O8" i="14"/>
  <c r="J8" i="14"/>
  <c r="J9" i="14"/>
  <c r="G9" i="14"/>
  <c r="G8" i="14"/>
  <c r="I8" i="14"/>
  <c r="I9" i="14"/>
  <c r="E17" i="14"/>
  <c r="F14" i="14"/>
  <c r="F16" i="14" s="1"/>
  <c r="J33" i="14"/>
  <c r="J32" i="14"/>
  <c r="D8" i="14"/>
  <c r="D9" i="14"/>
  <c r="I33" i="14"/>
  <c r="I32" i="14"/>
  <c r="K33" i="14"/>
  <c r="K32" i="14"/>
  <c r="H15" i="14"/>
  <c r="I15" i="14" s="1"/>
  <c r="J15" i="14" s="1"/>
  <c r="K15" i="14" s="1"/>
  <c r="L15" i="14" s="1"/>
  <c r="M15" i="14" s="1"/>
  <c r="N15" i="14" s="1"/>
  <c r="O15" i="14" s="1"/>
  <c r="P15" i="14" s="1"/>
  <c r="D39" i="14" s="1"/>
  <c r="E39" i="14" s="1"/>
  <c r="F39" i="14" s="1"/>
  <c r="O32" i="14"/>
  <c r="O33" i="14"/>
  <c r="H33" i="14"/>
  <c r="H32" i="14"/>
  <c r="K10" i="14"/>
  <c r="M34" i="10"/>
  <c r="F32" i="10"/>
  <c r="F33" i="10"/>
  <c r="N32" i="10"/>
  <c r="N33" i="10"/>
  <c r="D32" i="10"/>
  <c r="D33" i="10"/>
  <c r="H33" i="10"/>
  <c r="H32" i="10"/>
  <c r="O32" i="10"/>
  <c r="O33" i="10"/>
  <c r="I32" i="10"/>
  <c r="I33" i="10"/>
  <c r="G33" i="10"/>
  <c r="G32" i="10"/>
  <c r="L32" i="10"/>
  <c r="L33" i="10"/>
  <c r="D8" i="13"/>
  <c r="D9" i="13"/>
  <c r="H10" i="13"/>
  <c r="J10" i="13"/>
  <c r="G10" i="13"/>
  <c r="L10" i="13"/>
  <c r="I10" i="13"/>
  <c r="N10" i="13"/>
  <c r="E10" i="13"/>
  <c r="E17" i="13"/>
  <c r="F14" i="13"/>
  <c r="F16" i="13" s="1"/>
  <c r="D56" i="14" l="1"/>
  <c r="D57" i="14" s="1"/>
  <c r="D58" i="14" s="1"/>
  <c r="L15" i="13"/>
  <c r="E18" i="14"/>
  <c r="E19" i="14"/>
  <c r="E19" i="13"/>
  <c r="E18" i="13"/>
  <c r="H10" i="14"/>
  <c r="L10" i="14"/>
  <c r="H57" i="14"/>
  <c r="E57" i="14"/>
  <c r="K57" i="14"/>
  <c r="M9" i="14"/>
  <c r="M10" i="14" s="1"/>
  <c r="E8" i="14"/>
  <c r="E10" i="14" s="1"/>
  <c r="G10" i="14"/>
  <c r="E81" i="14"/>
  <c r="E82" i="14" s="1"/>
  <c r="F82" i="14" s="1"/>
  <c r="G82" i="14" s="1"/>
  <c r="H82" i="14" s="1"/>
  <c r="I82" i="14" s="1"/>
  <c r="J82" i="14" s="1"/>
  <c r="K82" i="14" s="1"/>
  <c r="L82" i="14" s="1"/>
  <c r="M82" i="14" s="1"/>
  <c r="N82" i="14" s="1"/>
  <c r="O82" i="14" s="1"/>
  <c r="O10" i="14"/>
  <c r="N34" i="14"/>
  <c r="N57" i="14"/>
  <c r="D10" i="13"/>
  <c r="D11" i="13" s="1"/>
  <c r="E11" i="13" s="1"/>
  <c r="F11" i="13" s="1"/>
  <c r="G11" i="13" s="1"/>
  <c r="H11" i="13" s="1"/>
  <c r="I11" i="13" s="1"/>
  <c r="J11" i="13" s="1"/>
  <c r="K11" i="13" s="1"/>
  <c r="L11" i="13" s="1"/>
  <c r="M11" i="13" s="1"/>
  <c r="N11" i="13" s="1"/>
  <c r="O11" i="13" s="1"/>
  <c r="G39" i="14"/>
  <c r="L57" i="14"/>
  <c r="O57" i="14"/>
  <c r="I34" i="14"/>
  <c r="N10" i="14"/>
  <c r="I10" i="14"/>
  <c r="H34" i="14"/>
  <c r="D10" i="14"/>
  <c r="D11" i="14" s="1"/>
  <c r="J34" i="14"/>
  <c r="J10" i="14"/>
  <c r="F17" i="14"/>
  <c r="G14" i="14"/>
  <c r="G16" i="14" s="1"/>
  <c r="D20" i="14"/>
  <c r="D22" i="14" s="1"/>
  <c r="D23" i="14" s="1"/>
  <c r="E21" i="14" s="1"/>
  <c r="O34" i="14"/>
  <c r="E35" i="14"/>
  <c r="F35" i="14" s="1"/>
  <c r="G35" i="14" s="1"/>
  <c r="K34" i="14"/>
  <c r="G34" i="10"/>
  <c r="H34" i="10"/>
  <c r="N34" i="10"/>
  <c r="O34" i="10"/>
  <c r="F34" i="10"/>
  <c r="I34" i="10"/>
  <c r="D34" i="10"/>
  <c r="D35" i="10" s="1"/>
  <c r="E35" i="10" s="1"/>
  <c r="L34" i="10"/>
  <c r="G14" i="13"/>
  <c r="G16" i="13" s="1"/>
  <c r="F17" i="13"/>
  <c r="D20" i="13"/>
  <c r="D22" i="13" s="1"/>
  <c r="D23" i="13" s="1"/>
  <c r="E21" i="13" s="1"/>
  <c r="O6" i="10"/>
  <c r="N6" i="10"/>
  <c r="M6" i="10"/>
  <c r="L6" i="10"/>
  <c r="K6" i="10"/>
  <c r="J6" i="10"/>
  <c r="I6" i="10"/>
  <c r="H6" i="10"/>
  <c r="G6" i="10"/>
  <c r="F6" i="10"/>
  <c r="E6" i="10"/>
  <c r="D6" i="10"/>
  <c r="E58" i="14" l="1"/>
  <c r="F58" i="14" s="1"/>
  <c r="G58" i="14" s="1"/>
  <c r="H58" i="14" s="1"/>
  <c r="I58" i="14" s="1"/>
  <c r="J58" i="14" s="1"/>
  <c r="K58" i="14" s="1"/>
  <c r="L58" i="14" s="1"/>
  <c r="M58" i="14" s="1"/>
  <c r="N58" i="14" s="1"/>
  <c r="O58" i="14" s="1"/>
  <c r="M15" i="13"/>
  <c r="N15" i="13" s="1"/>
  <c r="O15" i="13" s="1"/>
  <c r="F18" i="14"/>
  <c r="F19" i="14"/>
  <c r="F19" i="13"/>
  <c r="F18" i="13"/>
  <c r="E11" i="14"/>
  <c r="F11" i="14" s="1"/>
  <c r="G11" i="14" s="1"/>
  <c r="H11" i="14" s="1"/>
  <c r="I11" i="14" s="1"/>
  <c r="J11" i="14" s="1"/>
  <c r="K11" i="14" s="1"/>
  <c r="L11" i="14" s="1"/>
  <c r="M11" i="14" s="1"/>
  <c r="N11" i="14" s="1"/>
  <c r="O11" i="14" s="1"/>
  <c r="H39" i="14"/>
  <c r="H35" i="14"/>
  <c r="I35" i="14" s="1"/>
  <c r="J35" i="14" s="1"/>
  <c r="K35" i="14" s="1"/>
  <c r="L35" i="14" s="1"/>
  <c r="M35" i="14" s="1"/>
  <c r="N35" i="14" s="1"/>
  <c r="O35" i="14" s="1"/>
  <c r="E20" i="14"/>
  <c r="E22" i="14" s="1"/>
  <c r="E23" i="14" s="1"/>
  <c r="F21" i="14" s="1"/>
  <c r="G17" i="14"/>
  <c r="H14" i="14"/>
  <c r="H16" i="14" s="1"/>
  <c r="F35" i="10"/>
  <c r="G35" i="10" s="1"/>
  <c r="H35" i="10" s="1"/>
  <c r="I35" i="10" s="1"/>
  <c r="J35" i="10" s="1"/>
  <c r="K35" i="10" s="1"/>
  <c r="L35" i="10" s="1"/>
  <c r="M35" i="10" s="1"/>
  <c r="N35" i="10" s="1"/>
  <c r="O35" i="10" s="1"/>
  <c r="H14" i="13"/>
  <c r="H16" i="13" s="1"/>
  <c r="G17" i="13"/>
  <c r="G18" i="13" s="1"/>
  <c r="E20" i="13"/>
  <c r="E22" i="13" s="1"/>
  <c r="E23" i="13" s="1"/>
  <c r="F21" i="13" s="1"/>
  <c r="D14" i="10"/>
  <c r="G18" i="14" l="1"/>
  <c r="G19" i="14"/>
  <c r="G19" i="13"/>
  <c r="D16" i="10"/>
  <c r="D17" i="10" s="1"/>
  <c r="F20" i="13"/>
  <c r="F22" i="13" s="1"/>
  <c r="F23" i="13" s="1"/>
  <c r="G21" i="13" s="1"/>
  <c r="I39" i="14"/>
  <c r="I14" i="14"/>
  <c r="I16" i="14" s="1"/>
  <c r="H17" i="14"/>
  <c r="F20" i="14"/>
  <c r="F22" i="14" s="1"/>
  <c r="F23" i="14" s="1"/>
  <c r="G21" i="14" s="1"/>
  <c r="I14" i="13"/>
  <c r="I16" i="13" s="1"/>
  <c r="H17" i="13"/>
  <c r="E14" i="10"/>
  <c r="E16" i="10" s="1"/>
  <c r="N7" i="10"/>
  <c r="F7" i="10"/>
  <c r="E3" i="6"/>
  <c r="D19" i="10" l="1"/>
  <c r="D18" i="10"/>
  <c r="H19" i="14"/>
  <c r="H18" i="14"/>
  <c r="H19" i="13"/>
  <c r="H18" i="13"/>
  <c r="J39" i="14"/>
  <c r="I17" i="14"/>
  <c r="J14" i="14"/>
  <c r="J16" i="14" s="1"/>
  <c r="G20" i="14"/>
  <c r="G22" i="14" s="1"/>
  <c r="G23" i="14" s="1"/>
  <c r="H21" i="14" s="1"/>
  <c r="G20" i="13"/>
  <c r="G22" i="13" s="1"/>
  <c r="G23" i="13" s="1"/>
  <c r="H21" i="13" s="1"/>
  <c r="J14" i="13"/>
  <c r="J16" i="13" s="1"/>
  <c r="I17" i="13"/>
  <c r="I18" i="13" s="1"/>
  <c r="F14" i="10"/>
  <c r="E15" i="10"/>
  <c r="F15" i="10" s="1"/>
  <c r="G15" i="10" s="1"/>
  <c r="H7" i="10"/>
  <c r="H8" i="10" s="1"/>
  <c r="K7" i="10"/>
  <c r="K9" i="10" s="1"/>
  <c r="E7" i="10"/>
  <c r="E9" i="10" s="1"/>
  <c r="M7" i="10"/>
  <c r="M9" i="10" s="1"/>
  <c r="G7" i="10"/>
  <c r="G9" i="10" s="1"/>
  <c r="O7" i="10"/>
  <c r="O9" i="10" s="1"/>
  <c r="I7" i="10"/>
  <c r="I8" i="10" s="1"/>
  <c r="J7" i="10"/>
  <c r="J8" i="10" s="1"/>
  <c r="L7" i="10"/>
  <c r="L9" i="10" s="1"/>
  <c r="N9" i="10"/>
  <c r="N8" i="10"/>
  <c r="F9" i="10"/>
  <c r="F8" i="10"/>
  <c r="D7" i="10"/>
  <c r="H18" i="9"/>
  <c r="G21" i="9"/>
  <c r="F21" i="9"/>
  <c r="E21" i="9"/>
  <c r="D21" i="9"/>
  <c r="D18" i="9"/>
  <c r="C18" i="9"/>
  <c r="O4" i="9"/>
  <c r="O7" i="9"/>
  <c r="O3" i="9"/>
  <c r="N6" i="9"/>
  <c r="N8" i="9" s="1"/>
  <c r="N13" i="9" s="1"/>
  <c r="M6" i="9"/>
  <c r="M8" i="9" s="1"/>
  <c r="L6" i="9"/>
  <c r="L8" i="9" s="1"/>
  <c r="L13" i="9" s="1"/>
  <c r="I6" i="9"/>
  <c r="H6" i="9"/>
  <c r="H8" i="9" s="1"/>
  <c r="H13" i="9" s="1"/>
  <c r="K5" i="9"/>
  <c r="K8" i="9" s="1"/>
  <c r="K13" i="9" s="1"/>
  <c r="J5" i="9"/>
  <c r="J8" i="9" s="1"/>
  <c r="J13" i="9" s="1"/>
  <c r="I5" i="9"/>
  <c r="I8" i="9" s="1"/>
  <c r="G5" i="9"/>
  <c r="F5" i="9"/>
  <c r="D20" i="10" l="1"/>
  <c r="H15" i="10"/>
  <c r="I15" i="10" s="1"/>
  <c r="J15" i="10" s="1"/>
  <c r="K15" i="10" s="1"/>
  <c r="L15" i="10" s="1"/>
  <c r="M15" i="10" s="1"/>
  <c r="N15" i="10" s="1"/>
  <c r="O15" i="10" s="1"/>
  <c r="P15" i="10" s="1"/>
  <c r="D39" i="10" s="1"/>
  <c r="E39" i="10" s="1"/>
  <c r="F39" i="10" s="1"/>
  <c r="G39" i="10" s="1"/>
  <c r="H39" i="10" s="1"/>
  <c r="I39" i="10" s="1"/>
  <c r="J39" i="10" s="1"/>
  <c r="K39" i="10" s="1"/>
  <c r="L39" i="10" s="1"/>
  <c r="M39" i="10" s="1"/>
  <c r="N39" i="10" s="1"/>
  <c r="O39" i="10" s="1"/>
  <c r="P39" i="10" s="1"/>
  <c r="F16" i="10"/>
  <c r="F17" i="10" s="1"/>
  <c r="I19" i="14"/>
  <c r="I18" i="14"/>
  <c r="I19" i="13"/>
  <c r="K39" i="14"/>
  <c r="J17" i="14"/>
  <c r="K14" i="14"/>
  <c r="K16" i="14" s="1"/>
  <c r="H20" i="14"/>
  <c r="H22" i="14" s="1"/>
  <c r="H23" i="14" s="1"/>
  <c r="I21" i="14" s="1"/>
  <c r="E17" i="10"/>
  <c r="J17" i="13"/>
  <c r="K14" i="13"/>
  <c r="H20" i="13"/>
  <c r="H22" i="13" s="1"/>
  <c r="H23" i="13" s="1"/>
  <c r="I21" i="13" s="1"/>
  <c r="H9" i="10"/>
  <c r="K8" i="10"/>
  <c r="K10" i="10" s="1"/>
  <c r="O5" i="9"/>
  <c r="M8" i="10"/>
  <c r="M10" i="10" s="1"/>
  <c r="F10" i="10"/>
  <c r="J9" i="10"/>
  <c r="I9" i="10"/>
  <c r="E8" i="10"/>
  <c r="E10" i="10" s="1"/>
  <c r="N10" i="10"/>
  <c r="O8" i="10"/>
  <c r="O10" i="10" s="1"/>
  <c r="G8" i="10"/>
  <c r="G10" i="10" s="1"/>
  <c r="L8" i="10"/>
  <c r="L10" i="10" s="1"/>
  <c r="D9" i="10"/>
  <c r="D8" i="10"/>
  <c r="I11" i="9"/>
  <c r="I13" i="9"/>
  <c r="I14" i="9" s="1"/>
  <c r="M11" i="9"/>
  <c r="M13" i="9"/>
  <c r="E18" i="9"/>
  <c r="H20" i="9"/>
  <c r="D19" i="9"/>
  <c r="H21" i="9"/>
  <c r="J11" i="9"/>
  <c r="J14" i="9" s="1"/>
  <c r="L11" i="9"/>
  <c r="L14" i="9" s="1"/>
  <c r="K11" i="9"/>
  <c r="K14" i="9" s="1"/>
  <c r="H11" i="9"/>
  <c r="H14" i="9" s="1"/>
  <c r="N11" i="9"/>
  <c r="N14" i="9" s="1"/>
  <c r="D6" i="9"/>
  <c r="D8" i="9" s="1"/>
  <c r="D13" i="9" s="1"/>
  <c r="E6" i="9"/>
  <c r="E8" i="9" s="1"/>
  <c r="E13" i="9" s="1"/>
  <c r="F6" i="9"/>
  <c r="F8" i="9" s="1"/>
  <c r="F13" i="9" s="1"/>
  <c r="G6" i="9"/>
  <c r="G8" i="9" s="1"/>
  <c r="G13" i="9" s="1"/>
  <c r="C6" i="9"/>
  <c r="D7" i="6"/>
  <c r="R8" i="6"/>
  <c r="T14" i="6"/>
  <c r="S10" i="6"/>
  <c r="S9" i="6"/>
  <c r="K16" i="13" l="1"/>
  <c r="K17" i="13" s="1"/>
  <c r="E19" i="10"/>
  <c r="E18" i="10"/>
  <c r="J19" i="14"/>
  <c r="J18" i="14"/>
  <c r="J18" i="13"/>
  <c r="J19" i="13"/>
  <c r="L39" i="14"/>
  <c r="I20" i="14"/>
  <c r="I22" i="14" s="1"/>
  <c r="I23" i="14" s="1"/>
  <c r="J21" i="14" s="1"/>
  <c r="L14" i="14"/>
  <c r="L16" i="14" s="1"/>
  <c r="K17" i="14"/>
  <c r="L14" i="13"/>
  <c r="L16" i="13" s="1"/>
  <c r="I20" i="13"/>
  <c r="I22" i="13" s="1"/>
  <c r="I23" i="13" s="1"/>
  <c r="J21" i="13" s="1"/>
  <c r="D22" i="10"/>
  <c r="D23" i="10" s="1"/>
  <c r="E21" i="10" s="1"/>
  <c r="I10" i="10"/>
  <c r="J10" i="10"/>
  <c r="H10" i="10"/>
  <c r="D10" i="10"/>
  <c r="D11" i="10" s="1"/>
  <c r="E11" i="10" s="1"/>
  <c r="G14" i="10"/>
  <c r="G16" i="10" s="1"/>
  <c r="E14" i="9"/>
  <c r="H22" i="9"/>
  <c r="H23" i="9" s="1"/>
  <c r="C22" i="9"/>
  <c r="G14" i="9"/>
  <c r="E19" i="9"/>
  <c r="F18" i="9"/>
  <c r="M14" i="9"/>
  <c r="F11" i="9"/>
  <c r="F14" i="9" s="1"/>
  <c r="G11" i="9"/>
  <c r="C8" i="9"/>
  <c r="C13" i="9" s="1"/>
  <c r="O6" i="9"/>
  <c r="D11" i="9"/>
  <c r="D14" i="9" s="1"/>
  <c r="E11" i="9"/>
  <c r="D33" i="8"/>
  <c r="D30" i="8"/>
  <c r="D27" i="8"/>
  <c r="D24" i="8"/>
  <c r="C33" i="8"/>
  <c r="E33" i="8" s="1"/>
  <c r="F33" i="8" s="1"/>
  <c r="G33" i="8" s="1"/>
  <c r="C30" i="8"/>
  <c r="C27" i="8"/>
  <c r="C24" i="8"/>
  <c r="E24" i="8" s="1"/>
  <c r="F24" i="8" s="1"/>
  <c r="G24" i="8" s="1"/>
  <c r="D15" i="8"/>
  <c r="C15" i="8"/>
  <c r="D21" i="8"/>
  <c r="C21" i="8"/>
  <c r="E21" i="8" s="1"/>
  <c r="D12" i="8"/>
  <c r="E12" i="8"/>
  <c r="F12" i="8" s="1"/>
  <c r="G12" i="8" s="1"/>
  <c r="C12" i="8"/>
  <c r="D9" i="8"/>
  <c r="C9" i="8"/>
  <c r="D6" i="8"/>
  <c r="C6" i="8"/>
  <c r="E3" i="8"/>
  <c r="F3" i="8" s="1"/>
  <c r="G3" i="8" s="1"/>
  <c r="D3" i="8"/>
  <c r="C3" i="8"/>
  <c r="P8" i="7"/>
  <c r="P9" i="7"/>
  <c r="G5" i="7"/>
  <c r="P5" i="7" s="1"/>
  <c r="G8" i="7"/>
  <c r="G9" i="7"/>
  <c r="G10" i="7"/>
  <c r="P10" i="7" s="1"/>
  <c r="F12" i="7"/>
  <c r="G12" i="7" s="1"/>
  <c r="P12" i="7" s="1"/>
  <c r="G4" i="7"/>
  <c r="P4" i="7" s="1"/>
  <c r="F4" i="7"/>
  <c r="F5" i="7"/>
  <c r="F6" i="7"/>
  <c r="G6" i="7" s="1"/>
  <c r="P6" i="7" s="1"/>
  <c r="F7" i="7"/>
  <c r="G7" i="7" s="1"/>
  <c r="P7" i="7" s="1"/>
  <c r="F8" i="7"/>
  <c r="F9" i="7"/>
  <c r="F10" i="7"/>
  <c r="F11" i="7"/>
  <c r="G11" i="7" s="1"/>
  <c r="P11" i="7" s="1"/>
  <c r="F3" i="7"/>
  <c r="Q9" i="7"/>
  <c r="F11" i="6"/>
  <c r="F12" i="6"/>
  <c r="E11" i="6"/>
  <c r="E12" i="6"/>
  <c r="K7" i="7"/>
  <c r="G16" i="7"/>
  <c r="Q15" i="7"/>
  <c r="Q16" i="7" s="1"/>
  <c r="G15" i="7"/>
  <c r="G14" i="7"/>
  <c r="H14" i="7" s="1"/>
  <c r="A14" i="7"/>
  <c r="K13" i="7"/>
  <c r="G13" i="7"/>
  <c r="H13" i="7" s="1"/>
  <c r="A13" i="7"/>
  <c r="K12" i="7"/>
  <c r="A12" i="7"/>
  <c r="K11" i="7"/>
  <c r="A11" i="7"/>
  <c r="K10" i="7"/>
  <c r="A10" i="7"/>
  <c r="K9" i="7"/>
  <c r="L9" i="7" s="1"/>
  <c r="K8" i="7"/>
  <c r="L8" i="7" s="1"/>
  <c r="A7" i="7"/>
  <c r="K6" i="7"/>
  <c r="L6" i="7" s="1"/>
  <c r="K5" i="7"/>
  <c r="L5" i="7" s="1"/>
  <c r="K4" i="7"/>
  <c r="L4" i="7" s="1"/>
  <c r="A3" i="7"/>
  <c r="G1" i="7"/>
  <c r="H1" i="7" s="1"/>
  <c r="F19" i="10" l="1"/>
  <c r="F18" i="10"/>
  <c r="J20" i="14"/>
  <c r="J22" i="14" s="1"/>
  <c r="J23" i="14" s="1"/>
  <c r="K21" i="14" s="1"/>
  <c r="K19" i="14"/>
  <c r="K18" i="14"/>
  <c r="K18" i="13"/>
  <c r="K19" i="13"/>
  <c r="M39" i="14"/>
  <c r="M14" i="14"/>
  <c r="M16" i="14" s="1"/>
  <c r="L17" i="14"/>
  <c r="M14" i="13"/>
  <c r="M16" i="13" s="1"/>
  <c r="L17" i="13"/>
  <c r="J20" i="13"/>
  <c r="J22" i="13" s="1"/>
  <c r="J23" i="13" s="1"/>
  <c r="K21" i="13" s="1"/>
  <c r="E20" i="10"/>
  <c r="E22" i="10" s="1"/>
  <c r="E23" i="10" s="1"/>
  <c r="F21" i="10" s="1"/>
  <c r="F11" i="10"/>
  <c r="E9" i="8"/>
  <c r="F9" i="8" s="1"/>
  <c r="G9" i="8" s="1"/>
  <c r="H14" i="10"/>
  <c r="G17" i="10"/>
  <c r="G19" i="10" s="1"/>
  <c r="G18" i="9"/>
  <c r="G19" i="9" s="1"/>
  <c r="F19" i="9"/>
  <c r="C23" i="9"/>
  <c r="D22" i="9"/>
  <c r="O8" i="9"/>
  <c r="O13" i="9" s="1"/>
  <c r="C11" i="9"/>
  <c r="C14" i="9" s="1"/>
  <c r="E30" i="8"/>
  <c r="F30" i="8" s="1"/>
  <c r="G30" i="8" s="1"/>
  <c r="E27" i="8"/>
  <c r="F27" i="8" s="1"/>
  <c r="G27" i="8" s="1"/>
  <c r="E15" i="8"/>
  <c r="F15" i="8" s="1"/>
  <c r="G15" i="8" s="1"/>
  <c r="F21" i="8"/>
  <c r="G21" i="8" s="1"/>
  <c r="E6" i="8"/>
  <c r="F6" i="8" s="1"/>
  <c r="G6" i="8" s="1"/>
  <c r="H12" i="7"/>
  <c r="I12" i="7" s="1"/>
  <c r="J12" i="7" s="1"/>
  <c r="L12" i="7"/>
  <c r="L11" i="7"/>
  <c r="L13" i="7"/>
  <c r="I14" i="7"/>
  <c r="L10" i="7"/>
  <c r="K3" i="7"/>
  <c r="L3" i="7" s="1"/>
  <c r="L7" i="7"/>
  <c r="M12" i="7"/>
  <c r="N12" i="7" s="1"/>
  <c r="M6" i="7"/>
  <c r="N6" i="7" s="1"/>
  <c r="J7" i="7"/>
  <c r="H11" i="7"/>
  <c r="M11" i="7" s="1"/>
  <c r="N11" i="7" s="1"/>
  <c r="E7" i="6"/>
  <c r="L7" i="6" s="1"/>
  <c r="F7" i="6"/>
  <c r="H3" i="6"/>
  <c r="F3" i="6"/>
  <c r="G3" i="6" s="1"/>
  <c r="F8" i="6"/>
  <c r="E8" i="6"/>
  <c r="L8" i="6" s="1"/>
  <c r="M8" i="6" s="1"/>
  <c r="G11" i="6"/>
  <c r="H11" i="6" s="1"/>
  <c r="G12" i="6"/>
  <c r="H12" i="6" s="1"/>
  <c r="E10" i="6"/>
  <c r="L10" i="6" s="1"/>
  <c r="F10" i="6"/>
  <c r="A14" i="6"/>
  <c r="L13" i="6"/>
  <c r="A13" i="6"/>
  <c r="L12" i="6"/>
  <c r="A12" i="6"/>
  <c r="L11" i="6"/>
  <c r="A11" i="6"/>
  <c r="A7" i="6"/>
  <c r="L3" i="6"/>
  <c r="A3" i="6"/>
  <c r="A10" i="6"/>
  <c r="E9" i="6"/>
  <c r="L9" i="6" s="1"/>
  <c r="M9" i="6" s="1"/>
  <c r="F9" i="6"/>
  <c r="F6" i="6"/>
  <c r="F4" i="6"/>
  <c r="E4" i="6"/>
  <c r="L4" i="6" s="1"/>
  <c r="M4" i="6" s="1"/>
  <c r="F5" i="6"/>
  <c r="E5" i="6"/>
  <c r="L5" i="6" s="1"/>
  <c r="M5" i="6" s="1"/>
  <c r="G1" i="6"/>
  <c r="I1" i="6" s="1"/>
  <c r="H16" i="10" l="1"/>
  <c r="H17" i="10"/>
  <c r="G18" i="10"/>
  <c r="L18" i="14"/>
  <c r="L19" i="14"/>
  <c r="K20" i="13"/>
  <c r="K22" i="13" s="1"/>
  <c r="K23" i="13" s="1"/>
  <c r="L21" i="13" s="1"/>
  <c r="L18" i="13"/>
  <c r="L19" i="13"/>
  <c r="N39" i="14"/>
  <c r="K20" i="14"/>
  <c r="K22" i="14" s="1"/>
  <c r="K23" i="14" s="1"/>
  <c r="L21" i="14" s="1"/>
  <c r="N14" i="14"/>
  <c r="N16" i="14" s="1"/>
  <c r="M17" i="14"/>
  <c r="N14" i="13"/>
  <c r="N16" i="13" s="1"/>
  <c r="M17" i="13"/>
  <c r="F20" i="10"/>
  <c r="F22" i="10" s="1"/>
  <c r="F23" i="10" s="1"/>
  <c r="G21" i="10" s="1"/>
  <c r="G11" i="10"/>
  <c r="I14" i="10"/>
  <c r="I16" i="10" s="1"/>
  <c r="E22" i="9"/>
  <c r="D23" i="9"/>
  <c r="O14" i="9"/>
  <c r="H24" i="9"/>
  <c r="J3" i="7"/>
  <c r="M5" i="7"/>
  <c r="N5" i="7" s="1"/>
  <c r="J5" i="7"/>
  <c r="M7" i="7"/>
  <c r="N7" i="7" s="1"/>
  <c r="M8" i="7"/>
  <c r="N8" i="7" s="1"/>
  <c r="J8" i="7"/>
  <c r="I11" i="7"/>
  <c r="J11" i="7" s="1"/>
  <c r="J6" i="7"/>
  <c r="M13" i="7"/>
  <c r="N13" i="7" s="1"/>
  <c r="I13" i="7"/>
  <c r="J13" i="7" s="1"/>
  <c r="G8" i="6"/>
  <c r="H8" i="6" s="1"/>
  <c r="G4" i="6"/>
  <c r="G10" i="6"/>
  <c r="H10" i="6" s="1"/>
  <c r="G5" i="6"/>
  <c r="G7" i="6"/>
  <c r="H7" i="6" s="1"/>
  <c r="M7" i="6"/>
  <c r="M10" i="6"/>
  <c r="H1" i="6"/>
  <c r="M12" i="6"/>
  <c r="G9" i="6"/>
  <c r="H9" i="6" s="1"/>
  <c r="E6" i="6"/>
  <c r="M11" i="6"/>
  <c r="M3" i="6"/>
  <c r="M13" i="6"/>
  <c r="D8" i="4"/>
  <c r="D10" i="4"/>
  <c r="D11" i="4"/>
  <c r="D12" i="4"/>
  <c r="D13" i="4"/>
  <c r="H18" i="10" l="1"/>
  <c r="H19" i="10"/>
  <c r="M18" i="14"/>
  <c r="M19" i="14"/>
  <c r="M19" i="13"/>
  <c r="M18" i="13"/>
  <c r="L20" i="13"/>
  <c r="O39" i="14"/>
  <c r="L20" i="14"/>
  <c r="L22" i="14" s="1"/>
  <c r="L23" i="14" s="1"/>
  <c r="M21" i="14" s="1"/>
  <c r="N17" i="14"/>
  <c r="O14" i="14"/>
  <c r="O16" i="14" s="1"/>
  <c r="G20" i="10"/>
  <c r="G22" i="10" s="1"/>
  <c r="G23" i="10" s="1"/>
  <c r="H21" i="10" s="1"/>
  <c r="O14" i="13"/>
  <c r="O16" i="13" s="1"/>
  <c r="N17" i="13"/>
  <c r="H11" i="10"/>
  <c r="J14" i="10"/>
  <c r="J16" i="10" s="1"/>
  <c r="I17" i="10"/>
  <c r="F22" i="9"/>
  <c r="E23" i="9"/>
  <c r="M3" i="7"/>
  <c r="N3" i="7" s="1"/>
  <c r="M4" i="7"/>
  <c r="N4" i="7" s="1"/>
  <c r="J4" i="7"/>
  <c r="M9" i="7"/>
  <c r="N9" i="7" s="1"/>
  <c r="J9" i="7"/>
  <c r="M10" i="7"/>
  <c r="N10" i="7" s="1"/>
  <c r="J10" i="7"/>
  <c r="L6" i="6"/>
  <c r="M6" i="6" s="1"/>
  <c r="G6" i="6"/>
  <c r="H6" i="6"/>
  <c r="I3" i="6"/>
  <c r="I12" i="6"/>
  <c r="I9" i="6"/>
  <c r="I4" i="6"/>
  <c r="H4" i="6"/>
  <c r="I11" i="6"/>
  <c r="I5" i="6"/>
  <c r="H5" i="6"/>
  <c r="I8" i="6"/>
  <c r="I7" i="6"/>
  <c r="I10" i="6"/>
  <c r="L22" i="13" l="1"/>
  <c r="L23" i="13" s="1"/>
  <c r="M21" i="13" s="1"/>
  <c r="I18" i="10"/>
  <c r="I19" i="10"/>
  <c r="N19" i="14"/>
  <c r="N18" i="14"/>
  <c r="M20" i="13"/>
  <c r="N19" i="13"/>
  <c r="N18" i="13"/>
  <c r="P39" i="14"/>
  <c r="M20" i="14"/>
  <c r="M22" i="14" s="1"/>
  <c r="M23" i="14" s="1"/>
  <c r="N21" i="14" s="1"/>
  <c r="O17" i="14"/>
  <c r="P14" i="14"/>
  <c r="O17" i="13"/>
  <c r="H20" i="10"/>
  <c r="H22" i="10" s="1"/>
  <c r="H23" i="10" s="1"/>
  <c r="I21" i="10" s="1"/>
  <c r="I11" i="10"/>
  <c r="K14" i="10"/>
  <c r="K16" i="10" s="1"/>
  <c r="J17" i="10"/>
  <c r="G22" i="9"/>
  <c r="G23" i="9" s="1"/>
  <c r="F23" i="9"/>
  <c r="J9" i="6"/>
  <c r="K9" i="6" s="1"/>
  <c r="I6" i="6"/>
  <c r="N6" i="6" s="1"/>
  <c r="O6" i="6" s="1"/>
  <c r="N4" i="6"/>
  <c r="O4" i="6" s="1"/>
  <c r="J4" i="6"/>
  <c r="K4" i="6" s="1"/>
  <c r="N13" i="6"/>
  <c r="O13" i="6" s="1"/>
  <c r="K13" i="6"/>
  <c r="N7" i="6"/>
  <c r="O7" i="6" s="1"/>
  <c r="J7" i="6"/>
  <c r="N11" i="6"/>
  <c r="O11" i="6" s="1"/>
  <c r="J11" i="6"/>
  <c r="K11" i="6" s="1"/>
  <c r="N12" i="6"/>
  <c r="O12" i="6" s="1"/>
  <c r="J12" i="6"/>
  <c r="K12" i="6" s="1"/>
  <c r="N3" i="6"/>
  <c r="O3" i="6" s="1"/>
  <c r="J3" i="6"/>
  <c r="K3" i="6" s="1"/>
  <c r="N10" i="6"/>
  <c r="O10" i="6" s="1"/>
  <c r="J10" i="6"/>
  <c r="K10" i="6" s="1"/>
  <c r="N5" i="6"/>
  <c r="O5" i="6" s="1"/>
  <c r="J5" i="6"/>
  <c r="K5" i="6" s="1"/>
  <c r="N9" i="6"/>
  <c r="O9" i="6" s="1"/>
  <c r="N8" i="6"/>
  <c r="O8" i="6" s="1"/>
  <c r="J8" i="6"/>
  <c r="K8" i="6" s="1"/>
  <c r="M22" i="13" l="1"/>
  <c r="M23" i="13" s="1"/>
  <c r="N21" i="13" s="1"/>
  <c r="J18" i="10"/>
  <c r="J19" i="10"/>
  <c r="O19" i="14"/>
  <c r="O18" i="14"/>
  <c r="O19" i="13"/>
  <c r="O18" i="13"/>
  <c r="D62" i="14"/>
  <c r="E62" i="14" s="1"/>
  <c r="F62" i="14" s="1"/>
  <c r="G62" i="14" s="1"/>
  <c r="H62" i="14" s="1"/>
  <c r="I62" i="14" s="1"/>
  <c r="J62" i="14" s="1"/>
  <c r="K62" i="14" s="1"/>
  <c r="L62" i="14" s="1"/>
  <c r="M62" i="14" s="1"/>
  <c r="N62" i="14" s="1"/>
  <c r="O62" i="14" s="1"/>
  <c r="P62" i="14" s="1"/>
  <c r="D86" i="14" s="1"/>
  <c r="E86" i="14" s="1"/>
  <c r="F86" i="14" s="1"/>
  <c r="G86" i="14" s="1"/>
  <c r="H86" i="14" s="1"/>
  <c r="I86" i="14" s="1"/>
  <c r="J86" i="14" s="1"/>
  <c r="K86" i="14" s="1"/>
  <c r="L86" i="14" s="1"/>
  <c r="M86" i="14" s="1"/>
  <c r="N86" i="14" s="1"/>
  <c r="O86" i="14" s="1"/>
  <c r="P86" i="14" s="1"/>
  <c r="D38" i="14"/>
  <c r="P16" i="14"/>
  <c r="P17" i="14" s="1"/>
  <c r="I20" i="10"/>
  <c r="I22" i="10" s="1"/>
  <c r="I23" i="10" s="1"/>
  <c r="J21" i="10" s="1"/>
  <c r="N20" i="13"/>
  <c r="N20" i="14"/>
  <c r="N22" i="14" s="1"/>
  <c r="N23" i="14" s="1"/>
  <c r="O21" i="14" s="1"/>
  <c r="J11" i="10"/>
  <c r="K7" i="6"/>
  <c r="R7" i="6"/>
  <c r="K17" i="10"/>
  <c r="L14" i="10"/>
  <c r="J6" i="6"/>
  <c r="K6" i="6" s="1"/>
  <c r="A11" i="4"/>
  <c r="A12" i="4"/>
  <c r="A13" i="4"/>
  <c r="C13" i="4"/>
  <c r="J13" i="4" s="1"/>
  <c r="C12" i="4"/>
  <c r="J12" i="4" s="1"/>
  <c r="K12" i="4" s="1"/>
  <c r="C11" i="4"/>
  <c r="J11" i="4" s="1"/>
  <c r="C10" i="4"/>
  <c r="J10" i="4" s="1"/>
  <c r="A10" i="4"/>
  <c r="B9" i="4"/>
  <c r="D9" i="4" s="1"/>
  <c r="J8" i="4"/>
  <c r="E8" i="4"/>
  <c r="C8" i="4"/>
  <c r="A8" i="4"/>
  <c r="B7" i="4"/>
  <c r="D7" i="4" s="1"/>
  <c r="B6" i="4"/>
  <c r="D6" i="4" s="1"/>
  <c r="B5" i="4"/>
  <c r="D5" i="4" s="1"/>
  <c r="B4" i="4"/>
  <c r="D4" i="4" s="1"/>
  <c r="B3" i="4"/>
  <c r="D3" i="4" s="1"/>
  <c r="E1" i="4"/>
  <c r="G1" i="4" s="1"/>
  <c r="L16" i="10" l="1"/>
  <c r="L17" i="10" s="1"/>
  <c r="M14" i="10"/>
  <c r="M16" i="10" s="1"/>
  <c r="N22" i="13"/>
  <c r="N23" i="13" s="1"/>
  <c r="O21" i="13" s="1"/>
  <c r="K19" i="10"/>
  <c r="K18" i="10"/>
  <c r="P19" i="14"/>
  <c r="P18" i="14"/>
  <c r="D40" i="14"/>
  <c r="D41" i="14" s="1"/>
  <c r="E38" i="14"/>
  <c r="O20" i="14"/>
  <c r="O22" i="14" s="1"/>
  <c r="O23" i="14" s="1"/>
  <c r="P21" i="14" s="1"/>
  <c r="O20" i="13"/>
  <c r="O22" i="13" s="1"/>
  <c r="O23" i="13" s="1"/>
  <c r="J20" i="10"/>
  <c r="J22" i="10" s="1"/>
  <c r="J23" i="10" s="1"/>
  <c r="K21" i="10" s="1"/>
  <c r="K11" i="10"/>
  <c r="E13" i="4"/>
  <c r="G13" i="4" s="1"/>
  <c r="E10" i="4"/>
  <c r="G10" i="4" s="1"/>
  <c r="K13" i="4"/>
  <c r="K11" i="4"/>
  <c r="F10" i="4"/>
  <c r="F8" i="4"/>
  <c r="G8" i="4"/>
  <c r="C3" i="4"/>
  <c r="J3" i="4" s="1"/>
  <c r="K3" i="4" s="1"/>
  <c r="C4" i="4"/>
  <c r="J4" i="4" s="1"/>
  <c r="K4" i="4" s="1"/>
  <c r="C5" i="4"/>
  <c r="J5" i="4" s="1"/>
  <c r="K5" i="4" s="1"/>
  <c r="C6" i="4"/>
  <c r="J6" i="4" s="1"/>
  <c r="K6" i="4" s="1"/>
  <c r="C7" i="4"/>
  <c r="J7" i="4" s="1"/>
  <c r="K7" i="4" s="1"/>
  <c r="K8" i="4"/>
  <c r="C9" i="4"/>
  <c r="J9" i="4" s="1"/>
  <c r="K9" i="4" s="1"/>
  <c r="K10" i="4"/>
  <c r="E12" i="4"/>
  <c r="F13" i="4"/>
  <c r="F1" i="4"/>
  <c r="E6" i="4"/>
  <c r="E11" i="4"/>
  <c r="E3" i="4"/>
  <c r="E7" i="4"/>
  <c r="L18" i="10" l="1"/>
  <c r="L19" i="10"/>
  <c r="D42" i="14"/>
  <c r="D43" i="14"/>
  <c r="E40" i="14"/>
  <c r="E41" i="14" s="1"/>
  <c r="F38" i="14"/>
  <c r="P20" i="14"/>
  <c r="K20" i="10"/>
  <c r="K22" i="10" s="1"/>
  <c r="K23" i="10" s="1"/>
  <c r="L21" i="10" s="1"/>
  <c r="L11" i="10"/>
  <c r="N14" i="10"/>
  <c r="N16" i="10" s="1"/>
  <c r="M17" i="10"/>
  <c r="G6" i="4"/>
  <c r="F6" i="4"/>
  <c r="G7" i="4"/>
  <c r="F7" i="4"/>
  <c r="F3" i="4"/>
  <c r="G3" i="4"/>
  <c r="L8" i="4"/>
  <c r="M8" i="4" s="1"/>
  <c r="H8" i="4"/>
  <c r="I8" i="4" s="1"/>
  <c r="F11" i="4"/>
  <c r="G11" i="4"/>
  <c r="L13" i="4"/>
  <c r="M13" i="4" s="1"/>
  <c r="H13" i="4"/>
  <c r="I13" i="4" s="1"/>
  <c r="L10" i="4"/>
  <c r="M10" i="4" s="1"/>
  <c r="H10" i="4"/>
  <c r="I10" i="4" s="1"/>
  <c r="E5" i="4"/>
  <c r="G12" i="4"/>
  <c r="F12" i="4"/>
  <c r="E9" i="4"/>
  <c r="E4" i="4"/>
  <c r="M19" i="10" l="1"/>
  <c r="M18" i="10"/>
  <c r="E43" i="14"/>
  <c r="E42" i="14"/>
  <c r="D44" i="14"/>
  <c r="E45" i="14" s="1"/>
  <c r="P22" i="14"/>
  <c r="D45" i="14"/>
  <c r="F40" i="14"/>
  <c r="F41" i="14" s="1"/>
  <c r="G38" i="14"/>
  <c r="L20" i="10"/>
  <c r="L22" i="10" s="1"/>
  <c r="L23" i="10" s="1"/>
  <c r="M21" i="10" s="1"/>
  <c r="M11" i="10"/>
  <c r="O14" i="10"/>
  <c r="O16" i="10" s="1"/>
  <c r="N17" i="10"/>
  <c r="F4" i="4"/>
  <c r="G4" i="4"/>
  <c r="G5" i="4"/>
  <c r="F5" i="4"/>
  <c r="G9" i="4"/>
  <c r="F9" i="4"/>
  <c r="L6" i="4"/>
  <c r="M6" i="4" s="1"/>
  <c r="H6" i="4"/>
  <c r="I6" i="4" s="1"/>
  <c r="H12" i="4"/>
  <c r="I12" i="4" s="1"/>
  <c r="L12" i="4"/>
  <c r="M12" i="4" s="1"/>
  <c r="L11" i="4"/>
  <c r="M11" i="4" s="1"/>
  <c r="H11" i="4"/>
  <c r="I11" i="4" s="1"/>
  <c r="L3" i="4"/>
  <c r="M3" i="4" s="1"/>
  <c r="H3" i="4"/>
  <c r="I3" i="4" s="1"/>
  <c r="L7" i="4"/>
  <c r="M7" i="4" s="1"/>
  <c r="H7" i="4"/>
  <c r="I7" i="4" s="1"/>
  <c r="N19" i="10" l="1"/>
  <c r="N18" i="10"/>
  <c r="F42" i="14"/>
  <c r="F43" i="14"/>
  <c r="D46" i="14"/>
  <c r="G40" i="14"/>
  <c r="G41" i="14" s="1"/>
  <c r="H38" i="14"/>
  <c r="E44" i="14"/>
  <c r="P14" i="10"/>
  <c r="M20" i="10"/>
  <c r="M22" i="10" s="1"/>
  <c r="M23" i="10" s="1"/>
  <c r="N21" i="10" s="1"/>
  <c r="N11" i="10"/>
  <c r="O17" i="10"/>
  <c r="L9" i="4"/>
  <c r="M9" i="4" s="1"/>
  <c r="H9" i="4"/>
  <c r="I9" i="4" s="1"/>
  <c r="L4" i="4"/>
  <c r="M4" i="4" s="1"/>
  <c r="H4" i="4"/>
  <c r="I4" i="4" s="1"/>
  <c r="L5" i="4"/>
  <c r="M5" i="4" s="1"/>
  <c r="H5" i="4"/>
  <c r="I5" i="4" s="1"/>
  <c r="O19" i="10" l="1"/>
  <c r="O18" i="10"/>
  <c r="G42" i="14"/>
  <c r="G43" i="14"/>
  <c r="H40" i="14"/>
  <c r="H41" i="14" s="1"/>
  <c r="I38" i="14"/>
  <c r="F45" i="14"/>
  <c r="E46" i="14"/>
  <c r="F44" i="14"/>
  <c r="P16" i="10"/>
  <c r="P17" i="10" s="1"/>
  <c r="D38" i="10"/>
  <c r="N20" i="10"/>
  <c r="N22" i="10" s="1"/>
  <c r="N23" i="10" s="1"/>
  <c r="O21" i="10" s="1"/>
  <c r="O11" i="10"/>
  <c r="P18" i="10" l="1"/>
  <c r="P19" i="10"/>
  <c r="H43" i="14"/>
  <c r="H42" i="14"/>
  <c r="G44" i="14"/>
  <c r="H45" i="14" s="1"/>
  <c r="G45" i="14"/>
  <c r="F46" i="14"/>
  <c r="I40" i="14"/>
  <c r="I41" i="14" s="1"/>
  <c r="J38" i="14"/>
  <c r="D40" i="10"/>
  <c r="D41" i="10"/>
  <c r="E38" i="10"/>
  <c r="O20" i="10"/>
  <c r="O22" i="10" s="1"/>
  <c r="O23" i="10" s="1"/>
  <c r="P21" i="10" s="1"/>
  <c r="G46" i="14" l="1"/>
  <c r="P20" i="10"/>
  <c r="P22" i="10" s="1"/>
  <c r="D43" i="10"/>
  <c r="D42" i="10"/>
  <c r="I43" i="14"/>
  <c r="I42" i="14"/>
  <c r="H44" i="14"/>
  <c r="H46" i="14" s="1"/>
  <c r="J40" i="14"/>
  <c r="J41" i="14" s="1"/>
  <c r="K38" i="14"/>
  <c r="E40" i="10"/>
  <c r="E41" i="10" s="1"/>
  <c r="F38" i="10"/>
  <c r="D45" i="10" l="1"/>
  <c r="I44" i="14"/>
  <c r="J45" i="14" s="1"/>
  <c r="E43" i="10"/>
  <c r="E42" i="10"/>
  <c r="J43" i="14"/>
  <c r="J42" i="14"/>
  <c r="I45" i="14"/>
  <c r="K40" i="14"/>
  <c r="K41" i="14" s="1"/>
  <c r="L38" i="14"/>
  <c r="D44" i="10"/>
  <c r="E45" i="10" s="1"/>
  <c r="F40" i="10"/>
  <c r="F41" i="10" s="1"/>
  <c r="F43" i="10" s="1"/>
  <c r="G38" i="10"/>
  <c r="I46" i="14" l="1"/>
  <c r="F42" i="10"/>
  <c r="K43" i="14"/>
  <c r="K42" i="14"/>
  <c r="D46" i="10"/>
  <c r="J44" i="14"/>
  <c r="J46" i="14" s="1"/>
  <c r="L40" i="14"/>
  <c r="L41" i="14" s="1"/>
  <c r="M38" i="14"/>
  <c r="E44" i="10"/>
  <c r="G40" i="10"/>
  <c r="G41" i="10" s="1"/>
  <c r="H38" i="10"/>
  <c r="K45" i="14" l="1"/>
  <c r="G43" i="10"/>
  <c r="G42" i="10"/>
  <c r="L42" i="14"/>
  <c r="L43" i="14"/>
  <c r="M40" i="14"/>
  <c r="M41" i="14" s="1"/>
  <c r="N38" i="14"/>
  <c r="K44" i="14"/>
  <c r="F45" i="10"/>
  <c r="E46" i="10"/>
  <c r="H40" i="10"/>
  <c r="H41" i="10" s="1"/>
  <c r="I38" i="10"/>
  <c r="F44" i="10"/>
  <c r="H43" i="10" l="1"/>
  <c r="H42" i="10"/>
  <c r="M42" i="14"/>
  <c r="M43" i="14"/>
  <c r="L44" i="14"/>
  <c r="M45" i="14" s="1"/>
  <c r="L45" i="14"/>
  <c r="K46" i="14"/>
  <c r="N40" i="14"/>
  <c r="N41" i="14" s="1"/>
  <c r="O38" i="14"/>
  <c r="F46" i="10"/>
  <c r="G45" i="10"/>
  <c r="I40" i="10"/>
  <c r="I41" i="10" s="1"/>
  <c r="J38" i="10"/>
  <c r="G44" i="10"/>
  <c r="I42" i="10" l="1"/>
  <c r="I43" i="10"/>
  <c r="N42" i="14"/>
  <c r="N43" i="14"/>
  <c r="L46" i="14"/>
  <c r="M44" i="14"/>
  <c r="N45" i="14" s="1"/>
  <c r="M46" i="14"/>
  <c r="O40" i="14"/>
  <c r="O41" i="14" s="1"/>
  <c r="P38" i="14"/>
  <c r="G46" i="10"/>
  <c r="H45" i="10"/>
  <c r="H44" i="10"/>
  <c r="J40" i="10"/>
  <c r="J41" i="10" s="1"/>
  <c r="K38" i="10"/>
  <c r="N44" i="14" l="1"/>
  <c r="O45" i="14" s="1"/>
  <c r="J42" i="10"/>
  <c r="J43" i="10"/>
  <c r="O42" i="14"/>
  <c r="O43" i="14"/>
  <c r="P40" i="14"/>
  <c r="P41" i="14" s="1"/>
  <c r="D61" i="14"/>
  <c r="K40" i="10"/>
  <c r="K41" i="10" s="1"/>
  <c r="L38" i="10"/>
  <c r="I44" i="10"/>
  <c r="H46" i="10"/>
  <c r="I45" i="10"/>
  <c r="N46" i="14" l="1"/>
  <c r="K42" i="10"/>
  <c r="K43" i="10"/>
  <c r="P42" i="14"/>
  <c r="P43" i="14"/>
  <c r="D63" i="14"/>
  <c r="D64" i="14" s="1"/>
  <c r="E61" i="14"/>
  <c r="O44" i="14"/>
  <c r="J44" i="10"/>
  <c r="K45" i="10" s="1"/>
  <c r="L40" i="10"/>
  <c r="L41" i="10" s="1"/>
  <c r="M38" i="10"/>
  <c r="J45" i="10"/>
  <c r="I46" i="10"/>
  <c r="L43" i="10" l="1"/>
  <c r="L42" i="10"/>
  <c r="D66" i="14"/>
  <c r="D65" i="14"/>
  <c r="P44" i="14"/>
  <c r="D68" i="14" s="1"/>
  <c r="P45" i="14"/>
  <c r="O46" i="14"/>
  <c r="E63" i="14"/>
  <c r="E64" i="14" s="1"/>
  <c r="F61" i="14"/>
  <c r="J46" i="10"/>
  <c r="M40" i="10"/>
  <c r="M41" i="10" s="1"/>
  <c r="N38" i="10"/>
  <c r="K44" i="10"/>
  <c r="M43" i="10" l="1"/>
  <c r="M42" i="10"/>
  <c r="E66" i="14"/>
  <c r="E65" i="14"/>
  <c r="D67" i="14"/>
  <c r="D69" i="14" s="1"/>
  <c r="D70" i="14" s="1"/>
  <c r="E68" i="14" s="1"/>
  <c r="P46" i="14"/>
  <c r="F63" i="14"/>
  <c r="F64" i="14" s="1"/>
  <c r="G61" i="14"/>
  <c r="L45" i="10"/>
  <c r="K46" i="10"/>
  <c r="N40" i="10"/>
  <c r="N41" i="10" s="1"/>
  <c r="O38" i="10"/>
  <c r="L44" i="10"/>
  <c r="N42" i="10" l="1"/>
  <c r="N43" i="10"/>
  <c r="F65" i="14"/>
  <c r="F66" i="14"/>
  <c r="E67" i="14"/>
  <c r="E69" i="14" s="1"/>
  <c r="E70" i="14" s="1"/>
  <c r="F68" i="14" s="1"/>
  <c r="G63" i="14"/>
  <c r="G64" i="14" s="1"/>
  <c r="H61" i="14"/>
  <c r="M44" i="10"/>
  <c r="N45" i="10" s="1"/>
  <c r="M45" i="10"/>
  <c r="L46" i="10"/>
  <c r="O40" i="10"/>
  <c r="O41" i="10" s="1"/>
  <c r="P38" i="10"/>
  <c r="O43" i="10" l="1"/>
  <c r="O42" i="10"/>
  <c r="G65" i="14"/>
  <c r="G66" i="14"/>
  <c r="M46" i="10"/>
  <c r="F67" i="14"/>
  <c r="F69" i="14" s="1"/>
  <c r="F70" i="14" s="1"/>
  <c r="G68" i="14" s="1"/>
  <c r="H63" i="14"/>
  <c r="H64" i="14" s="1"/>
  <c r="I61" i="14"/>
  <c r="P40" i="10"/>
  <c r="P41" i="10" s="1"/>
  <c r="N44" i="10"/>
  <c r="P43" i="10" l="1"/>
  <c r="P42" i="10"/>
  <c r="H65" i="14"/>
  <c r="H66" i="14"/>
  <c r="I63" i="14"/>
  <c r="I64" i="14" s="1"/>
  <c r="J61" i="14"/>
  <c r="G67" i="14"/>
  <c r="G69" i="14" s="1"/>
  <c r="G70" i="14" s="1"/>
  <c r="H68" i="14" s="1"/>
  <c r="O45" i="10"/>
  <c r="N46" i="10"/>
  <c r="O44" i="10"/>
  <c r="I65" i="14" l="1"/>
  <c r="I66" i="14"/>
  <c r="H67" i="14"/>
  <c r="H69" i="14" s="1"/>
  <c r="H70" i="14" s="1"/>
  <c r="I68" i="14" s="1"/>
  <c r="J63" i="14"/>
  <c r="J64" i="14" s="1"/>
  <c r="K61" i="14"/>
  <c r="P44" i="10"/>
  <c r="O46" i="10"/>
  <c r="P45" i="10"/>
  <c r="J65" i="14" l="1"/>
  <c r="J66" i="14"/>
  <c r="K63" i="14"/>
  <c r="K64" i="14" s="1"/>
  <c r="L61" i="14"/>
  <c r="I67" i="14"/>
  <c r="I69" i="14" s="1"/>
  <c r="I70" i="14" s="1"/>
  <c r="J68" i="14" s="1"/>
  <c r="P46" i="10"/>
  <c r="K65" i="14" l="1"/>
  <c r="K66" i="14"/>
  <c r="J67" i="14"/>
  <c r="J69" i="14" s="1"/>
  <c r="J70" i="14" s="1"/>
  <c r="K68" i="14" s="1"/>
  <c r="L63" i="14"/>
  <c r="L64" i="14" s="1"/>
  <c r="M61" i="14"/>
  <c r="L66" i="14" l="1"/>
  <c r="L65" i="14"/>
  <c r="M63" i="14"/>
  <c r="M64" i="14" s="1"/>
  <c r="N61" i="14"/>
  <c r="K67" i="14"/>
  <c r="K69" i="14" s="1"/>
  <c r="K70" i="14" s="1"/>
  <c r="L68" i="14" s="1"/>
  <c r="M66" i="14" l="1"/>
  <c r="M65" i="14"/>
  <c r="N63" i="14"/>
  <c r="N64" i="14" s="1"/>
  <c r="O61" i="14"/>
  <c r="L67" i="14"/>
  <c r="L69" i="14" s="1"/>
  <c r="L70" i="14" s="1"/>
  <c r="M68" i="14" s="1"/>
  <c r="N66" i="14" l="1"/>
  <c r="N65" i="14"/>
  <c r="O63" i="14"/>
  <c r="O64" i="14" s="1"/>
  <c r="P61" i="14"/>
  <c r="M67" i="14"/>
  <c r="M69" i="14" s="1"/>
  <c r="M70" i="14" s="1"/>
  <c r="N68" i="14" s="1"/>
  <c r="O66" i="14" l="1"/>
  <c r="O65" i="14"/>
  <c r="P63" i="14"/>
  <c r="P64" i="14" s="1"/>
  <c r="D85" i="14"/>
  <c r="N67" i="14"/>
  <c r="N69" i="14" s="1"/>
  <c r="N70" i="14" s="1"/>
  <c r="O68" i="14" s="1"/>
  <c r="P65" i="14" l="1"/>
  <c r="P66" i="14"/>
  <c r="D87" i="14"/>
  <c r="D88" i="14" s="1"/>
  <c r="E85" i="14"/>
  <c r="O67" i="14"/>
  <c r="O69" i="14" s="1"/>
  <c r="O70" i="14" s="1"/>
  <c r="P68" i="14" s="1"/>
  <c r="P67" i="14" l="1"/>
  <c r="P69" i="14" s="1"/>
  <c r="P70" i="14" s="1"/>
  <c r="D89" i="14"/>
  <c r="D90" i="14"/>
  <c r="F85" i="14"/>
  <c r="E87" i="14"/>
  <c r="E88" i="14" s="1"/>
  <c r="D91" i="14" l="1"/>
  <c r="E92" i="14" s="1"/>
  <c r="D92" i="14"/>
  <c r="E89" i="14"/>
  <c r="E90" i="14"/>
  <c r="G85" i="14"/>
  <c r="F87" i="14"/>
  <c r="F88" i="14" s="1"/>
  <c r="D93" i="14" l="1"/>
  <c r="F90" i="14"/>
  <c r="F89" i="14"/>
  <c r="E91" i="14"/>
  <c r="E93" i="14" s="1"/>
  <c r="H85" i="14"/>
  <c r="G87" i="14"/>
  <c r="G88" i="14" s="1"/>
  <c r="F92" i="14" l="1"/>
  <c r="G90" i="14"/>
  <c r="G89" i="14"/>
  <c r="F91" i="14"/>
  <c r="H87" i="14"/>
  <c r="H88" i="14" s="1"/>
  <c r="I85" i="14"/>
  <c r="F93" i="14" l="1"/>
  <c r="H90" i="14"/>
  <c r="H89" i="14"/>
  <c r="G92" i="14"/>
  <c r="G91" i="14"/>
  <c r="H92" i="14" s="1"/>
  <c r="I87" i="14"/>
  <c r="I88" i="14" s="1"/>
  <c r="J85" i="14"/>
  <c r="I90" i="14" l="1"/>
  <c r="I89" i="14"/>
  <c r="H91" i="14"/>
  <c r="G93" i="14"/>
  <c r="K85" i="14"/>
  <c r="J87" i="14"/>
  <c r="J88" i="14" s="1"/>
  <c r="I92" i="14"/>
  <c r="H93" i="14"/>
  <c r="J89" i="14" l="1"/>
  <c r="J90" i="14"/>
  <c r="I91" i="14"/>
  <c r="J92" i="14" s="1"/>
  <c r="L85" i="14"/>
  <c r="K87" i="14"/>
  <c r="K88" i="14" s="1"/>
  <c r="I93" i="14" l="1"/>
  <c r="K89" i="14"/>
  <c r="K90" i="14"/>
  <c r="J91" i="14"/>
  <c r="J93" i="14" s="1"/>
  <c r="L87" i="14"/>
  <c r="L88" i="14" s="1"/>
  <c r="M85" i="14"/>
  <c r="L90" i="14" l="1"/>
  <c r="L89" i="14"/>
  <c r="K92" i="14"/>
  <c r="K91" i="14"/>
  <c r="L92" i="14" s="1"/>
  <c r="N85" i="14"/>
  <c r="M87" i="14"/>
  <c r="M88" i="14" s="1"/>
  <c r="M90" i="14" l="1"/>
  <c r="M89" i="14"/>
  <c r="L91" i="14"/>
  <c r="M92" i="14" s="1"/>
  <c r="K93" i="14"/>
  <c r="N87" i="14"/>
  <c r="N88" i="14" s="1"/>
  <c r="O85" i="14"/>
  <c r="M91" i="14" l="1"/>
  <c r="M93" i="14" s="1"/>
  <c r="N90" i="14"/>
  <c r="N89" i="14"/>
  <c r="L93" i="14"/>
  <c r="O87" i="14"/>
  <c r="O88" i="14" s="1"/>
  <c r="P85" i="14"/>
  <c r="P87" i="14" s="1"/>
  <c r="P88" i="14" s="1"/>
  <c r="N92" i="14" l="1"/>
  <c r="P89" i="14"/>
  <c r="P90" i="14"/>
  <c r="O90" i="14"/>
  <c r="O89" i="14"/>
  <c r="N91" i="14"/>
  <c r="O92" i="14" l="1"/>
  <c r="N93" i="14"/>
  <c r="O91" i="14"/>
  <c r="P91" i="14"/>
  <c r="P92" i="14" l="1"/>
  <c r="P93" i="14" s="1"/>
  <c r="O93" i="14"/>
</calcChain>
</file>

<file path=xl/sharedStrings.xml><?xml version="1.0" encoding="utf-8"?>
<sst xmlns="http://schemas.openxmlformats.org/spreadsheetml/2006/main" count="250" uniqueCount="75">
  <si>
    <t>yearly salary</t>
  </si>
  <si>
    <t>monthly sal</t>
  </si>
  <si>
    <t>free pay monthly</t>
  </si>
  <si>
    <t>nis free pay</t>
  </si>
  <si>
    <t>taxable</t>
  </si>
  <si>
    <t>total monthly tax</t>
  </si>
  <si>
    <t>net _monthly</t>
  </si>
  <si>
    <t>yearly tax free</t>
  </si>
  <si>
    <t>chargable income</t>
  </si>
  <si>
    <t>yearly tax 2017</t>
  </si>
  <si>
    <t>net salary</t>
  </si>
  <si>
    <t>ban_1</t>
  </si>
  <si>
    <t>Net Salary</t>
  </si>
  <si>
    <t>HR ID</t>
  </si>
  <si>
    <t>Taxable</t>
  </si>
  <si>
    <t>Daily Gross</t>
  </si>
  <si>
    <t>Under 180000</t>
  </si>
  <si>
    <t>NIS</t>
  </si>
  <si>
    <t>Tax Free</t>
  </si>
  <si>
    <t>Tax Payable</t>
  </si>
  <si>
    <t>Net</t>
  </si>
  <si>
    <t>Weekly</t>
  </si>
  <si>
    <t>Fornightly</t>
  </si>
  <si>
    <t>Monthly</t>
  </si>
  <si>
    <t>Yearly</t>
  </si>
  <si>
    <t>Above 180000</t>
  </si>
  <si>
    <t>PAYE</t>
  </si>
  <si>
    <t>Self Employed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</si>
  <si>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</si>
  <si>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</si>
  <si>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</si>
  <si>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</si>
  <si>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</si>
  <si>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</si>
  <si>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</si>
  <si>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</si>
  <si>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</si>
  <si>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</si>
  <si>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</si>
  <si>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</si>
  <si>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nis</t>
  </si>
  <si>
    <t>sal</t>
  </si>
  <si>
    <t>freeopay</t>
  </si>
  <si>
    <t>tax_paid</t>
  </si>
  <si>
    <t>as at april</t>
  </si>
  <si>
    <t xml:space="preserve">ytdgross </t>
  </si>
  <si>
    <t>avg taxable</t>
  </si>
  <si>
    <t>ytd_free_pay</t>
  </si>
  <si>
    <t>ytdtaxable</t>
  </si>
  <si>
    <t>nisytd</t>
  </si>
  <si>
    <t>ytd_taxable</t>
  </si>
  <si>
    <t>monthly</t>
  </si>
  <si>
    <t>taxed</t>
  </si>
  <si>
    <t>free pay applied mthly</t>
  </si>
  <si>
    <t>ytd</t>
  </si>
  <si>
    <t>Free Pay</t>
  </si>
  <si>
    <t>Chargeable Income</t>
  </si>
  <si>
    <t>Gross YTD</t>
  </si>
  <si>
    <t>NIS YTD</t>
  </si>
  <si>
    <t>Tier 1 Tax YTD</t>
  </si>
  <si>
    <t>Tier 2 Tax YTD</t>
  </si>
  <si>
    <t>Tax Payable YTD</t>
  </si>
  <si>
    <t>Employee</t>
  </si>
  <si>
    <t>Periods</t>
  </si>
  <si>
    <t>Tier 1 Tax-28</t>
  </si>
  <si>
    <t>Tier 2 Tax-40</t>
  </si>
  <si>
    <t>YTD prescribed calculations</t>
  </si>
  <si>
    <t>Total Taxes payable YTD</t>
  </si>
  <si>
    <t>Fortnights</t>
  </si>
  <si>
    <t>Weeks</t>
  </si>
  <si>
    <t xml:space="preserve">Tax Payable </t>
  </si>
  <si>
    <t xml:space="preserve">Tax Paid - Previous Period YTD </t>
  </si>
  <si>
    <t>Tax Free Allowance ($65,000 or 1/3 Income )</t>
  </si>
  <si>
    <t>Gross Income</t>
  </si>
  <si>
    <t>Tax Free Allowance per month ($65,000 or 1/3 Income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</si>
</sst>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_);_(* \(#,##0\);_(* &quot;-&quot;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</cellStyleXfs>
  <cellXfs count="184">
    <xf numFmtId="0" fontId="0" fillId="0" borderId="0" xfId="0"/>
    <xf numFmtId="0" fontId="0" fillId="0" borderId="0" xfId="0" applyFill="1"/>
    <xf numFmtId="43" fontId="0" fillId="0" borderId="0" xfId="1" applyNumberFormat="1" applyFont="1" applyFill="1"/>
    <xf numFmtId="164" fontId="0" fillId="0" borderId="0" xfId="1" applyNumberFormat="1" applyFont="1" applyFill="1"/>
    <xf numFmtId="0" fontId="0" fillId="0" borderId="0" xfId="0" applyFill="1" applyAlignment="1">
      <alignment horizontal="right"/>
    </xf>
    <xf numFmtId="164" fontId="0" fillId="0" borderId="0" xfId="1" applyNumberFormat="1" applyFont="1" applyFill="1" applyAlignment="1">
      <alignment horizontal="right"/>
    </xf>
    <xf numFmtId="43" fontId="0" fillId="0" borderId="0" xfId="1" applyFont="1"/>
    <xf numFmtId="43" fontId="0" fillId="0" borderId="0" xfId="0" applyNumberFormat="1"/>
    <xf numFmtId="0" fontId="0" fillId="2" borderId="0" xfId="0" applyFill="1"/>
    <xf numFmtId="0" fontId="0" fillId="2" borderId="0" xfId="0" applyFill="1" applyAlignment="1">
      <alignment horizontal="right"/>
    </xf>
    <xf numFmtId="164" fontId="0" fillId="2" borderId="0" xfId="1" applyNumberFormat="1" applyFont="1" applyFill="1"/>
    <xf numFmtId="43" fontId="0" fillId="0" borderId="0" xfId="0" applyNumberFormat="1" applyFill="1"/>
    <xf numFmtId="1" fontId="0" fillId="0" borderId="0" xfId="0" applyNumberFormat="1" applyFill="1"/>
    <xf numFmtId="1" fontId="0" fillId="0" borderId="0" xfId="0" applyNumberFormat="1" applyFill="1" applyAlignment="1">
      <alignment horizontal="right"/>
    </xf>
    <xf numFmtId="1" fontId="0" fillId="0" borderId="0" xfId="1" applyNumberFormat="1" applyFont="1" applyFill="1"/>
    <xf numFmtId="1" fontId="0" fillId="0" borderId="0" xfId="0" applyNumberFormat="1"/>
    <xf numFmtId="1" fontId="2" fillId="0" borderId="0" xfId="1" applyNumberFormat="1" applyFont="1" applyFill="1"/>
    <xf numFmtId="1" fontId="3" fillId="0" borderId="0" xfId="1" applyNumberFormat="1" applyFont="1" applyFill="1"/>
    <xf numFmtId="1" fontId="0" fillId="2" borderId="0" xfId="0" applyNumberFormat="1" applyFill="1"/>
    <xf numFmtId="1" fontId="2" fillId="0" borderId="0" xfId="0" applyNumberFormat="1" applyFont="1"/>
    <xf numFmtId="164" fontId="4" fillId="2" borderId="0" xfId="1" applyNumberFormat="1" applyFont="1" applyFill="1"/>
    <xf numFmtId="164" fontId="4" fillId="2" borderId="0" xfId="1" applyNumberFormat="1" applyFont="1" applyFill="1" applyAlignment="1">
      <alignment horizontal="right"/>
    </xf>
    <xf numFmtId="1" fontId="5" fillId="0" borderId="0" xfId="1" applyNumberFormat="1" applyFont="1" applyFill="1"/>
    <xf numFmtId="1" fontId="5" fillId="0" borderId="0" xfId="0" applyNumberFormat="1" applyFont="1"/>
    <xf numFmtId="164" fontId="4" fillId="0" borderId="0" xfId="1" applyNumberFormat="1" applyFont="1" applyFill="1"/>
    <xf numFmtId="164" fontId="4" fillId="0" borderId="0" xfId="1" applyNumberFormat="1" applyFont="1"/>
    <xf numFmtId="164" fontId="0" fillId="0" borderId="0" xfId="0" applyNumberFormat="1"/>
    <xf numFmtId="164" fontId="0" fillId="0" borderId="0" xfId="1" applyNumberFormat="1" applyFont="1"/>
    <xf numFmtId="1" fontId="5" fillId="0" borderId="0" xfId="0" applyNumberFormat="1" applyFont="1" applyFill="1" applyAlignment="1">
      <alignment horizontal="right"/>
    </xf>
    <xf numFmtId="164" fontId="5" fillId="0" borderId="0" xfId="1" applyNumberFormat="1" applyFont="1" applyFill="1"/>
    <xf numFmtId="1" fontId="0" fillId="0" borderId="1" xfId="0" applyNumberFormat="1" applyBorder="1"/>
    <xf numFmtId="1" fontId="0" fillId="0" borderId="1" xfId="1" applyNumberFormat="1" applyFont="1" applyFill="1" applyBorder="1"/>
    <xf numFmtId="164" fontId="0" fillId="0" borderId="1" xfId="1" applyNumberFormat="1" applyFont="1" applyFill="1" applyBorder="1"/>
    <xf numFmtId="164" fontId="4" fillId="2" borderId="1" xfId="1" applyNumberFormat="1" applyFont="1" applyFill="1" applyBorder="1" applyAlignment="1">
      <alignment horizontal="right"/>
    </xf>
    <xf numFmtId="1" fontId="3" fillId="0" borderId="1" xfId="1" applyNumberFormat="1" applyFont="1" applyFill="1" applyBorder="1"/>
    <xf numFmtId="1" fontId="2" fillId="0" borderId="1" xfId="1" applyNumberFormat="1" applyFont="1" applyFill="1" applyBorder="1"/>
    <xf numFmtId="1" fontId="2" fillId="0" borderId="1" xfId="0" applyNumberFormat="1" applyFont="1" applyBorder="1"/>
    <xf numFmtId="164" fontId="4" fillId="2" borderId="1" xfId="1" applyNumberFormat="1" applyFont="1" applyFill="1" applyBorder="1"/>
    <xf numFmtId="1" fontId="0" fillId="3" borderId="1" xfId="1" applyNumberFormat="1" applyFont="1" applyFill="1" applyBorder="1"/>
    <xf numFmtId="164" fontId="0" fillId="3" borderId="1" xfId="1" applyNumberFormat="1" applyFont="1" applyFill="1" applyBorder="1"/>
    <xf numFmtId="164" fontId="4" fillId="3" borderId="1" xfId="1" applyNumberFormat="1" applyFont="1" applyFill="1" applyBorder="1" applyAlignment="1">
      <alignment horizontal="right"/>
    </xf>
    <xf numFmtId="1" fontId="0" fillId="3" borderId="1" xfId="0" applyNumberFormat="1" applyFill="1" applyBorder="1"/>
    <xf numFmtId="0" fontId="5" fillId="0" borderId="0" xfId="0" applyFont="1"/>
    <xf numFmtId="165" fontId="0" fillId="0" borderId="0" xfId="0" applyNumberFormat="1"/>
    <xf numFmtId="164" fontId="5" fillId="0" borderId="0" xfId="1" applyNumberFormat="1" applyFont="1"/>
    <xf numFmtId="49" fontId="0" fillId="0" borderId="0" xfId="0" applyNumberFormat="1"/>
    <xf numFmtId="43" fontId="0" fillId="0" borderId="0" xfId="1" applyNumberFormat="1" applyFont="1"/>
    <xf numFmtId="0" fontId="0" fillId="4" borderId="0" xfId="0" applyFill="1"/>
    <xf numFmtId="164" fontId="5" fillId="4" borderId="0" xfId="1" applyNumberFormat="1" applyFont="1" applyFill="1"/>
    <xf numFmtId="0" fontId="5" fillId="4" borderId="0" xfId="0" applyFont="1" applyFill="1"/>
    <xf numFmtId="164" fontId="5" fillId="4" borderId="0" xfId="0" applyNumberFormat="1" applyFont="1" applyFill="1"/>
    <xf numFmtId="0" fontId="5" fillId="0" borderId="2" xfId="0" applyFont="1" applyBorder="1"/>
    <xf numFmtId="164" fontId="0" fillId="0" borderId="2" xfId="1" applyNumberFormat="1" applyFont="1" applyBorder="1"/>
    <xf numFmtId="164" fontId="5" fillId="4" borderId="2" xfId="1" applyNumberFormat="1" applyFont="1" applyFill="1" applyBorder="1"/>
    <xf numFmtId="0" fontId="0" fillId="0" borderId="2" xfId="0" applyBorder="1"/>
    <xf numFmtId="10" fontId="5" fillId="0" borderId="2" xfId="0" applyNumberFormat="1" applyFont="1" applyBorder="1"/>
    <xf numFmtId="16" fontId="0" fillId="0" borderId="0" xfId="0" applyNumberFormat="1"/>
    <xf numFmtId="164" fontId="0" fillId="5" borderId="0" xfId="0" applyNumberFormat="1" applyFill="1"/>
    <xf numFmtId="0" fontId="0" fillId="0" borderId="0" xfId="0" applyBorder="1"/>
    <xf numFmtId="49" fontId="0" fillId="0" borderId="0" xfId="0" applyNumberFormat="1" applyBorder="1"/>
    <xf numFmtId="0" fontId="5" fillId="4" borderId="0" xfId="0" applyFont="1" applyFill="1" applyBorder="1"/>
    <xf numFmtId="43" fontId="0" fillId="0" borderId="0" xfId="1" applyFont="1" applyFill="1" applyBorder="1"/>
    <xf numFmtId="43" fontId="0" fillId="0" borderId="0" xfId="1" applyFont="1" applyBorder="1" applyAlignment="1"/>
    <xf numFmtId="43" fontId="0" fillId="4" borderId="0" xfId="1" applyFont="1" applyFill="1" applyBorder="1"/>
    <xf numFmtId="43" fontId="0" fillId="0" borderId="0" xfId="1" applyFont="1" applyBorder="1"/>
    <xf numFmtId="0" fontId="6" fillId="6" borderId="0" xfId="2" applyFont="1"/>
    <xf numFmtId="164" fontId="0" fillId="0" borderId="0" xfId="1" applyNumberFormat="1" applyFont="1" applyBorder="1"/>
    <xf numFmtId="164" fontId="1" fillId="7" borderId="0" xfId="3" applyNumberFormat="1" applyBorder="1"/>
    <xf numFmtId="164" fontId="0" fillId="0" borderId="0" xfId="0" applyNumberFormat="1" applyBorder="1"/>
    <xf numFmtId="0" fontId="8" fillId="0" borderId="0" xfId="0" applyFont="1"/>
    <xf numFmtId="164" fontId="8" fillId="0" borderId="0" xfId="0" applyNumberFormat="1" applyFont="1"/>
    <xf numFmtId="43" fontId="8" fillId="0" borderId="0" xfId="0" applyNumberFormat="1" applyFont="1"/>
    <xf numFmtId="0" fontId="9" fillId="0" borderId="0" xfId="0" applyFont="1"/>
    <xf numFmtId="164" fontId="1" fillId="9" borderId="8" xfId="3" applyNumberFormat="1" applyFill="1" applyBorder="1"/>
    <xf numFmtId="164" fontId="0" fillId="9" borderId="0" xfId="0" applyNumberFormat="1" applyFill="1" applyBorder="1"/>
    <xf numFmtId="0" fontId="5" fillId="0" borderId="3" xfId="0" applyFont="1" applyBorder="1"/>
    <xf numFmtId="0" fontId="0" fillId="0" borderId="5" xfId="0" applyBorder="1"/>
    <xf numFmtId="0" fontId="0" fillId="7" borderId="5" xfId="3" applyFont="1" applyBorder="1"/>
    <xf numFmtId="0" fontId="0" fillId="9" borderId="5" xfId="0" applyFill="1" applyBorder="1"/>
    <xf numFmtId="0" fontId="0" fillId="9" borderId="7" xfId="0" applyFill="1" applyBorder="1"/>
    <xf numFmtId="164" fontId="1" fillId="9" borderId="10" xfId="3" applyNumberFormat="1" applyFill="1" applyBorder="1"/>
    <xf numFmtId="0" fontId="10" fillId="0" borderId="7" xfId="0" applyFont="1" applyBorder="1"/>
    <xf numFmtId="164" fontId="10" fillId="0" borderId="8" xfId="1" applyNumberFormat="1" applyFont="1" applyBorder="1"/>
    <xf numFmtId="164" fontId="0" fillId="0" borderId="12" xfId="1" applyNumberFormat="1" applyFont="1" applyBorder="1"/>
    <xf numFmtId="164" fontId="10" fillId="9" borderId="11" xfId="0" applyNumberFormat="1" applyFont="1" applyFill="1" applyBorder="1"/>
    <xf numFmtId="0" fontId="0" fillId="0" borderId="13" xfId="0" applyBorder="1"/>
    <xf numFmtId="164" fontId="0" fillId="0" borderId="14" xfId="1" applyNumberFormat="1" applyFont="1" applyBorder="1"/>
    <xf numFmtId="164" fontId="0" fillId="0" borderId="15" xfId="1" applyNumberFormat="1" applyFont="1" applyBorder="1"/>
    <xf numFmtId="0" fontId="0" fillId="9" borderId="16" xfId="0" applyFill="1" applyBorder="1"/>
    <xf numFmtId="164" fontId="0" fillId="9" borderId="17" xfId="1" applyNumberFormat="1" applyFont="1" applyFill="1" applyBorder="1"/>
    <xf numFmtId="0" fontId="10" fillId="9" borderId="19" xfId="0" applyFont="1" applyFill="1" applyBorder="1"/>
    <xf numFmtId="164" fontId="10" fillId="9" borderId="20" xfId="1" applyNumberFormat="1" applyFont="1" applyFill="1" applyBorder="1"/>
    <xf numFmtId="0" fontId="0" fillId="9" borderId="7" xfId="0" applyFont="1" applyFill="1" applyBorder="1"/>
    <xf numFmtId="164" fontId="0" fillId="4" borderId="0" xfId="0" applyNumberFormat="1" applyFill="1" applyBorder="1"/>
    <xf numFmtId="164" fontId="0" fillId="9" borderId="23" xfId="1" applyNumberFormat="1" applyFont="1" applyFill="1" applyBorder="1"/>
    <xf numFmtId="164" fontId="10" fillId="9" borderId="24" xfId="1" applyNumberFormat="1" applyFont="1" applyFill="1" applyBorder="1"/>
    <xf numFmtId="164" fontId="10" fillId="9" borderId="8" xfId="0" applyNumberFormat="1" applyFont="1" applyFill="1" applyBorder="1"/>
    <xf numFmtId="164" fontId="0" fillId="0" borderId="25" xfId="1" applyNumberFormat="1" applyFont="1" applyBorder="1"/>
    <xf numFmtId="0" fontId="0" fillId="0" borderId="28" xfId="0" applyBorder="1"/>
    <xf numFmtId="164" fontId="0" fillId="0" borderId="28" xfId="1" applyNumberFormat="1" applyFont="1" applyBorder="1"/>
    <xf numFmtId="164" fontId="10" fillId="9" borderId="31" xfId="1" applyNumberFormat="1" applyFont="1" applyFill="1" applyBorder="1"/>
    <xf numFmtId="164" fontId="0" fillId="9" borderId="34" xfId="1" applyNumberFormat="1" applyFont="1" applyFill="1" applyBorder="1"/>
    <xf numFmtId="164" fontId="10" fillId="9" borderId="27" xfId="0" applyNumberFormat="1" applyFont="1" applyFill="1" applyBorder="1"/>
    <xf numFmtId="164" fontId="0" fillId="0" borderId="35" xfId="1" applyNumberFormat="1" applyFont="1" applyBorder="1"/>
    <xf numFmtId="0" fontId="0" fillId="0" borderId="5" xfId="0" applyFill="1" applyBorder="1"/>
    <xf numFmtId="0" fontId="6" fillId="10" borderId="3" xfId="2" applyFont="1" applyFill="1" applyBorder="1"/>
    <xf numFmtId="0" fontId="6" fillId="10" borderId="4" xfId="2" applyFont="1" applyFill="1" applyBorder="1"/>
    <xf numFmtId="0" fontId="6" fillId="10" borderId="9" xfId="2" applyFont="1" applyFill="1" applyBorder="1"/>
    <xf numFmtId="0" fontId="5" fillId="11" borderId="3" xfId="0" applyFont="1" applyFill="1" applyBorder="1"/>
    <xf numFmtId="0" fontId="5" fillId="11" borderId="5" xfId="0" applyFont="1" applyFill="1" applyBorder="1"/>
    <xf numFmtId="0" fontId="6" fillId="10" borderId="33" xfId="2" applyFont="1" applyFill="1" applyBorder="1"/>
    <xf numFmtId="164" fontId="5" fillId="11" borderId="28" xfId="1" applyNumberFormat="1" applyFont="1" applyFill="1" applyBorder="1"/>
    <xf numFmtId="43" fontId="5" fillId="11" borderId="0" xfId="1" applyNumberFormat="1" applyFont="1" applyFill="1" applyBorder="1"/>
    <xf numFmtId="0" fontId="5" fillId="11" borderId="4" xfId="0" applyFont="1" applyFill="1" applyBorder="1"/>
    <xf numFmtId="43" fontId="5" fillId="11" borderId="28" xfId="1" applyNumberFormat="1" applyFont="1" applyFill="1" applyBorder="1"/>
    <xf numFmtId="43" fontId="5" fillId="11" borderId="6" xfId="1" applyNumberFormat="1" applyFont="1" applyFill="1" applyBorder="1"/>
    <xf numFmtId="0" fontId="0" fillId="0" borderId="0" xfId="0" applyProtection="1">
      <protection locked="0"/>
    </xf>
    <xf numFmtId="43" fontId="1" fillId="11" borderId="0" xfId="1" applyNumberFormat="1" applyFont="1" applyFill="1" applyBorder="1" applyProtection="1"/>
    <xf numFmtId="43" fontId="1" fillId="11" borderId="6" xfId="1" applyNumberFormat="1" applyFont="1" applyFill="1" applyBorder="1" applyProtection="1"/>
    <xf numFmtId="164" fontId="10" fillId="0" borderId="8" xfId="1" applyNumberFormat="1" applyFont="1" applyBorder="1" applyProtection="1"/>
    <xf numFmtId="164" fontId="10" fillId="0" borderId="10" xfId="1" applyNumberFormat="1" applyFont="1" applyBorder="1" applyProtection="1"/>
    <xf numFmtId="164" fontId="0" fillId="0" borderId="0" xfId="1" applyNumberFormat="1" applyFont="1" applyBorder="1" applyProtection="1"/>
    <xf numFmtId="164" fontId="0" fillId="0" borderId="6" xfId="1" applyNumberFormat="1" applyFont="1" applyBorder="1" applyProtection="1"/>
    <xf numFmtId="164" fontId="1" fillId="7" borderId="0" xfId="3" applyNumberFormat="1" applyBorder="1" applyProtection="1"/>
    <xf numFmtId="164" fontId="1" fillId="7" borderId="6" xfId="3" applyNumberFormat="1" applyBorder="1" applyProtection="1"/>
    <xf numFmtId="164" fontId="0" fillId="0" borderId="0" xfId="0" applyNumberFormat="1" applyBorder="1" applyProtection="1"/>
    <xf numFmtId="164" fontId="0" fillId="4" borderId="6" xfId="0" applyNumberFormat="1" applyFill="1" applyBorder="1" applyProtection="1"/>
    <xf numFmtId="164" fontId="0" fillId="9" borderId="0" xfId="0" applyNumberFormat="1" applyFill="1" applyBorder="1" applyProtection="1"/>
    <xf numFmtId="164" fontId="0" fillId="9" borderId="6" xfId="0" applyNumberFormat="1" applyFill="1" applyBorder="1" applyProtection="1"/>
    <xf numFmtId="0" fontId="7" fillId="11" borderId="4" xfId="0" applyFont="1" applyFill="1" applyBorder="1" applyProtection="1"/>
    <xf numFmtId="0" fontId="7" fillId="11" borderId="9" xfId="0" applyFont="1" applyFill="1" applyBorder="1" applyProtection="1"/>
    <xf numFmtId="164" fontId="0" fillId="0" borderId="12" xfId="1" applyNumberFormat="1" applyFont="1" applyBorder="1" applyProtection="1"/>
    <xf numFmtId="164" fontId="0" fillId="0" borderId="35" xfId="1" applyNumberFormat="1" applyFont="1" applyBorder="1" applyProtection="1"/>
    <xf numFmtId="164" fontId="0" fillId="0" borderId="14" xfId="1" applyNumberFormat="1" applyFont="1" applyBorder="1" applyProtection="1"/>
    <xf numFmtId="164" fontId="0" fillId="0" borderId="15" xfId="1" applyNumberFormat="1" applyFont="1" applyBorder="1" applyProtection="1"/>
    <xf numFmtId="164" fontId="0" fillId="9" borderId="17" xfId="1" applyNumberFormat="1" applyFont="1" applyFill="1" applyBorder="1" applyProtection="1"/>
    <xf numFmtId="164" fontId="0" fillId="9" borderId="18" xfId="1" applyNumberFormat="1" applyFont="1" applyFill="1" applyBorder="1" applyProtection="1"/>
    <xf numFmtId="164" fontId="10" fillId="9" borderId="20" xfId="1" applyNumberFormat="1" applyFont="1" applyFill="1" applyBorder="1" applyProtection="1"/>
    <xf numFmtId="164" fontId="10" fillId="9" borderId="21" xfId="1" applyNumberFormat="1" applyFont="1" applyFill="1" applyBorder="1" applyProtection="1"/>
    <xf numFmtId="164" fontId="5" fillId="9" borderId="11" xfId="0" applyNumberFormat="1" applyFont="1" applyFill="1" applyBorder="1" applyProtection="1"/>
    <xf numFmtId="164" fontId="5" fillId="9" borderId="10" xfId="0" applyNumberFormat="1" applyFont="1" applyFill="1" applyBorder="1" applyProtection="1"/>
    <xf numFmtId="164" fontId="5" fillId="0" borderId="4" xfId="1" applyNumberFormat="1" applyFont="1" applyBorder="1" applyProtection="1">
      <protection locked="0"/>
    </xf>
    <xf numFmtId="164" fontId="5" fillId="0" borderId="9" xfId="1" applyNumberFormat="1" applyFont="1" applyBorder="1" applyProtection="1">
      <protection locked="0"/>
    </xf>
    <xf numFmtId="0" fontId="5" fillId="11" borderId="5" xfId="0" applyFont="1" applyFill="1" applyBorder="1" applyProtection="1">
      <protection locked="0"/>
    </xf>
    <xf numFmtId="0" fontId="10" fillId="0" borderId="7" xfId="0" applyFont="1" applyBorder="1" applyProtection="1">
      <protection locked="0"/>
    </xf>
    <xf numFmtId="0" fontId="0" fillId="0" borderId="5" xfId="0" applyBorder="1" applyProtection="1">
      <protection locked="0"/>
    </xf>
    <xf numFmtId="0" fontId="0" fillId="7" borderId="5" xfId="3" applyFont="1" applyBorder="1" applyProtection="1">
      <protection locked="0"/>
    </xf>
    <xf numFmtId="0" fontId="0" fillId="9" borderId="5" xfId="0" applyFill="1" applyBorder="1" applyProtection="1">
      <protection locked="0"/>
    </xf>
    <xf numFmtId="0" fontId="5" fillId="11" borderId="3" xfId="0" applyFont="1" applyFill="1" applyBorder="1" applyProtection="1">
      <protection locked="0"/>
    </xf>
    <xf numFmtId="0" fontId="0" fillId="0" borderId="13" xfId="0" applyBorder="1" applyProtection="1">
      <protection locked="0"/>
    </xf>
    <xf numFmtId="0" fontId="0" fillId="9" borderId="16" xfId="0" applyFill="1" applyBorder="1" applyProtection="1">
      <protection locked="0"/>
    </xf>
    <xf numFmtId="0" fontId="10" fillId="9" borderId="19" xfId="0" applyFont="1" applyFill="1" applyBorder="1" applyProtection="1">
      <protection locked="0"/>
    </xf>
    <xf numFmtId="0" fontId="0" fillId="9" borderId="7" xfId="0" applyFont="1" applyFill="1" applyBorder="1" applyProtection="1">
      <protection locked="0"/>
    </xf>
    <xf numFmtId="164" fontId="0" fillId="0" borderId="28" xfId="1" applyNumberFormat="1" applyFont="1" applyBorder="1" applyProtection="1">
      <protection locked="0"/>
    </xf>
    <xf numFmtId="43" fontId="5" fillId="11" borderId="0" xfId="1" applyNumberFormat="1" applyFont="1" applyFill="1" applyBorder="1" applyProtection="1"/>
    <xf numFmtId="43" fontId="5" fillId="11" borderId="26" xfId="1" applyNumberFormat="1" applyFont="1" applyFill="1" applyBorder="1" applyProtection="1"/>
    <xf numFmtId="0" fontId="0" fillId="0" borderId="28" xfId="0" applyBorder="1" applyProtection="1"/>
    <xf numFmtId="164" fontId="0" fillId="4" borderId="0" xfId="0" applyNumberFormat="1" applyFill="1" applyBorder="1" applyProtection="1"/>
    <xf numFmtId="0" fontId="0" fillId="0" borderId="27" xfId="0" applyBorder="1" applyProtection="1"/>
    <xf numFmtId="0" fontId="5" fillId="11" borderId="4" xfId="0" applyFont="1" applyFill="1" applyBorder="1" applyProtection="1"/>
    <xf numFmtId="164" fontId="5" fillId="11" borderId="28" xfId="1" applyNumberFormat="1" applyFont="1" applyFill="1" applyBorder="1" applyProtection="1"/>
    <xf numFmtId="164" fontId="0" fillId="0" borderId="28" xfId="1" applyNumberFormat="1" applyFont="1" applyBorder="1" applyProtection="1"/>
    <xf numFmtId="164" fontId="0" fillId="0" borderId="1" xfId="1" applyNumberFormat="1" applyFont="1" applyBorder="1" applyProtection="1"/>
    <xf numFmtId="164" fontId="0" fillId="0" borderId="29" xfId="1" applyNumberFormat="1" applyFont="1" applyBorder="1" applyProtection="1"/>
    <xf numFmtId="164" fontId="1" fillId="9" borderId="1" xfId="1" applyNumberFormat="1" applyFont="1" applyFill="1" applyBorder="1" applyProtection="1"/>
    <xf numFmtId="164" fontId="0" fillId="9" borderId="1" xfId="1" applyNumberFormat="1" applyFont="1" applyFill="1" applyBorder="1" applyProtection="1"/>
    <xf numFmtId="164" fontId="0" fillId="9" borderId="29" xfId="1" applyNumberFormat="1" applyFont="1" applyFill="1" applyBorder="1" applyProtection="1"/>
    <xf numFmtId="164" fontId="0" fillId="9" borderId="14" xfId="1" applyNumberFormat="1" applyFont="1" applyFill="1" applyBorder="1" applyProtection="1"/>
    <xf numFmtId="164" fontId="0" fillId="9" borderId="22" xfId="1" applyNumberFormat="1" applyFont="1" applyFill="1" applyBorder="1" applyProtection="1"/>
    <xf numFmtId="164" fontId="0" fillId="9" borderId="30" xfId="1" applyNumberFormat="1" applyFont="1" applyFill="1" applyBorder="1" applyProtection="1"/>
    <xf numFmtId="164" fontId="10" fillId="9" borderId="24" xfId="1" applyNumberFormat="1" applyFont="1" applyFill="1" applyBorder="1" applyProtection="1"/>
    <xf numFmtId="164" fontId="10" fillId="9" borderId="31" xfId="1" applyNumberFormat="1" applyFont="1" applyFill="1" applyBorder="1" applyProtection="1"/>
    <xf numFmtId="164" fontId="0" fillId="9" borderId="11" xfId="0" applyNumberFormat="1" applyFont="1" applyFill="1" applyBorder="1" applyProtection="1"/>
    <xf numFmtId="164" fontId="0" fillId="9" borderId="8" xfId="0" applyNumberFormat="1" applyFont="1" applyFill="1" applyBorder="1" applyProtection="1"/>
    <xf numFmtId="164" fontId="0" fillId="9" borderId="27" xfId="0" applyNumberFormat="1" applyFont="1" applyFill="1" applyBorder="1" applyProtection="1"/>
    <xf numFmtId="43" fontId="5" fillId="11" borderId="28" xfId="1" applyNumberFormat="1" applyFont="1" applyFill="1" applyBorder="1" applyProtection="1"/>
    <xf numFmtId="0" fontId="0" fillId="0" borderId="36" xfId="0" applyBorder="1" applyProtection="1"/>
    <xf numFmtId="164" fontId="5" fillId="0" borderId="32" xfId="1" applyNumberFormat="1" applyFont="1" applyBorder="1" applyProtection="1">
      <protection locked="0"/>
    </xf>
    <xf numFmtId="164" fontId="5" fillId="0" borderId="33" xfId="1" applyNumberFormat="1" applyFont="1" applyBorder="1" applyProtection="1">
      <protection locked="0"/>
    </xf>
    <xf numFmtId="0" fontId="5" fillId="8" borderId="3" xfId="4" applyFont="1" applyBorder="1" applyAlignment="1">
      <alignment horizontal="center" vertical="center"/>
    </xf>
    <xf numFmtId="0" fontId="1" fillId="8" borderId="5" xfId="4" applyBorder="1" applyAlignment="1">
      <alignment horizontal="center" vertical="center"/>
    </xf>
    <xf numFmtId="0" fontId="1" fillId="8" borderId="7" xfId="4" applyBorder="1" applyAlignment="1">
      <alignment horizontal="center" vertical="center"/>
    </xf>
    <xf numFmtId="43" fontId="0" fillId="0" borderId="0" xfId="1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5">
    <cellStyle name="20% - Accent1" xfId="3" builtinId="30"/>
    <cellStyle name="20% - Accent4" xfId="4" builtinId="42"/>
    <cellStyle name="Accent1" xfId="2" builtinId="29"/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zoomScale="90" zoomScaleNormal="90" workbookViewId="0">
      <selection activeCell="D15" sqref="D15 E5"/>
    </sheetView>
  </sheetViews>
  <sheetFormatPr defaultRowHeight="15" x14ac:dyDescent="0.25"/>
  <cols>
    <col min="1" max="1" width="13.28515625" bestFit="1" customWidth="1"/>
    <col min="2" max="2" width="9.85546875" hidden="1" customWidth="1"/>
    <col min="3" max="3" width="40.28515625" bestFit="1" customWidth="1"/>
    <col min="4" max="15" width="12.7109375" customWidth="1"/>
    <col min="16" max="17" width="13.42578125" bestFit="1" customWidth="1"/>
    <col min="19" max="19" width="13.42578125" bestFit="1" customWidth="1"/>
  </cols>
  <sheetData>
    <row r="1" spans="1:19" ht="15.75" thickBot="1" x14ac:dyDescent="0.3"/>
    <row r="2" spans="1:19" ht="15.75" thickBot="1" x14ac:dyDescent="0.3">
      <c r="A2" s="69"/>
      <c r="B2" s="65" t="s">
        <v>62</v>
      </c>
      <c r="C2" s="105" t="s">
        <v>23</v>
      </c>
      <c r="D2" s="106" t="s">
        <v>28</v>
      </c>
      <c r="E2" s="106" t="s">
        <v>29</v>
      </c>
      <c r="F2" s="106" t="s">
        <v>30</v>
      </c>
      <c r="G2" s="106" t="s">
        <v>31</v>
      </c>
      <c r="H2" s="106" t="s">
        <v>32</v>
      </c>
      <c r="I2" s="106" t="s">
        <v>33</v>
      </c>
      <c r="J2" s="106" t="s">
        <v>34</v>
      </c>
      <c r="K2" s="106" t="s">
        <v>35</v>
      </c>
      <c r="L2" s="106" t="s">
        <v>36</v>
      </c>
      <c r="M2" s="106" t="s">
        <v>37</v>
      </c>
      <c r="N2" s="106" t="s">
        <v>38</v>
      </c>
      <c r="O2" s="107" t="s">
        <v>39</v>
      </c>
    </row>
    <row r="3" spans="1:19" ht="15" customHeight="1" x14ac:dyDescent="0.25">
      <c r="A3" s="69"/>
      <c r="B3" s="179"/>
      <c r="C3" s="75" t="s">
        <v>73</v>
      </c>
      <c r="D3" s="141">
        <v>416090</v>
      </c>
      <c r="E3" s="141">
        <v>65000</v>
      </c>
      <c r="F3" s="141">
        <v>240000</v>
      </c>
      <c r="G3" s="141">
        <v>200000</v>
      </c>
      <c r="H3" s="141">
        <v>300000</v>
      </c>
      <c r="I3" s="141">
        <v>280000</v>
      </c>
      <c r="J3" s="141">
        <v>280000</v>
      </c>
      <c r="K3" s="141">
        <v>280000</v>
      </c>
      <c r="L3" s="141">
        <v>275000</v>
      </c>
      <c r="M3" s="141">
        <v>300000</v>
      </c>
      <c r="N3" s="141">
        <v>300000</v>
      </c>
      <c r="O3" s="142">
        <v>300000</v>
      </c>
    </row>
    <row r="4" spans="1:19" ht="15" customHeight="1" x14ac:dyDescent="0.25">
      <c r="A4" s="69"/>
      <c r="B4" s="180"/>
      <c r="C4" s="143" t="s">
        <v>63</v>
      </c>
      <c r="D4" s="117">
        <v>1</v>
      </c>
      <c r="E4" s="117">
        <v>2</v>
      </c>
      <c r="F4" s="117">
        <v>3</v>
      </c>
      <c r="G4" s="117">
        <v>4</v>
      </c>
      <c r="H4" s="117">
        <v>5</v>
      </c>
      <c r="I4" s="117">
        <v>6</v>
      </c>
      <c r="J4" s="117">
        <v>7</v>
      </c>
      <c r="K4" s="117">
        <v>8</v>
      </c>
      <c r="L4" s="117">
        <v>9</v>
      </c>
      <c r="M4" s="117">
        <v>10</v>
      </c>
      <c r="N4" s="117">
        <v>11</v>
      </c>
      <c r="O4" s="118">
        <v>12</v>
      </c>
    </row>
    <row r="5" spans="1:19" ht="15" customHeight="1" thickBot="1" x14ac:dyDescent="0.3">
      <c r="A5" s="69"/>
      <c r="B5" s="180"/>
      <c r="C5" s="144" t="s">
        <v>17</v>
      </c>
      <c r="D5" s="119">
        <f>IF(D3&lt;240000,D3*5.6%,240000*5.6%)</f>
        <v>13439.999999999998</v>
      </c>
      <c r="E5" s="119">
        <f t="shared" ref="E5:O5" si="0">IF(E3&lt;256800,E3*5.6%,256800*5.6%)</f>
        <v>3639.9999999999995</v>
      </c>
      <c r="F5" s="119">
        <f t="shared" si="0"/>
        <v>13439.999999999998</v>
      </c>
      <c r="G5" s="119">
        <f t="shared" si="0"/>
        <v>11199.999999999998</v>
      </c>
      <c r="H5" s="119">
        <f t="shared" si="0"/>
        <v>14380.8</v>
      </c>
      <c r="I5" s="119">
        <f t="shared" si="0"/>
        <v>14380.8</v>
      </c>
      <c r="J5" s="119">
        <f t="shared" si="0"/>
        <v>14380.8</v>
      </c>
      <c r="K5" s="119">
        <f t="shared" si="0"/>
        <v>14380.8</v>
      </c>
      <c r="L5" s="119">
        <f t="shared" si="0"/>
        <v>14380.8</v>
      </c>
      <c r="M5" s="119">
        <f t="shared" si="0"/>
        <v>14380.8</v>
      </c>
      <c r="N5" s="119">
        <f t="shared" si="0"/>
        <v>14380.8</v>
      </c>
      <c r="O5" s="119">
        <f t="shared" si="0"/>
        <v>14380.8</v>
      </c>
    </row>
    <row r="6" spans="1:19" ht="15" hidden="1" customHeight="1" thickBot="1" x14ac:dyDescent="0.3">
      <c r="A6" s="69"/>
      <c r="B6" s="180"/>
      <c r="C6" s="144" t="s">
        <v>55</v>
      </c>
      <c r="D6" s="119">
        <f t="shared" ref="D6:O6" si="1">IF(D3&gt;180000,D3/3,65000)</f>
        <v>138696.66666666666</v>
      </c>
      <c r="E6" s="119">
        <f t="shared" si="1"/>
        <v>65000</v>
      </c>
      <c r="F6" s="119">
        <f t="shared" si="1"/>
        <v>80000</v>
      </c>
      <c r="G6" s="119">
        <f t="shared" si="1"/>
        <v>66666.666666666672</v>
      </c>
      <c r="H6" s="119">
        <f t="shared" si="1"/>
        <v>100000</v>
      </c>
      <c r="I6" s="119">
        <f t="shared" si="1"/>
        <v>93333.333333333328</v>
      </c>
      <c r="J6" s="119">
        <f t="shared" si="1"/>
        <v>93333.333333333328</v>
      </c>
      <c r="K6" s="119">
        <f t="shared" si="1"/>
        <v>93333.333333333328</v>
      </c>
      <c r="L6" s="119">
        <f t="shared" si="1"/>
        <v>91666.666666666672</v>
      </c>
      <c r="M6" s="119">
        <f t="shared" si="1"/>
        <v>100000</v>
      </c>
      <c r="N6" s="119">
        <f t="shared" si="1"/>
        <v>100000</v>
      </c>
      <c r="O6" s="120">
        <f t="shared" si="1"/>
        <v>100000</v>
      </c>
    </row>
    <row r="7" spans="1:19" ht="15" hidden="1" customHeight="1" x14ac:dyDescent="0.25">
      <c r="A7" s="69"/>
      <c r="B7" s="180"/>
      <c r="C7" s="145" t="s">
        <v>56</v>
      </c>
      <c r="D7" s="121">
        <f t="shared" ref="D7:O7" si="2">IF((D3-(D5+D6))&lt;0,0,(D3-(D5+D6)))</f>
        <v>263953.33333333337</v>
      </c>
      <c r="E7" s="121">
        <f t="shared" si="2"/>
        <v>0</v>
      </c>
      <c r="F7" s="121">
        <f t="shared" si="2"/>
        <v>146560</v>
      </c>
      <c r="G7" s="121">
        <f t="shared" si="2"/>
        <v>122133.33333333333</v>
      </c>
      <c r="H7" s="121">
        <f t="shared" si="2"/>
        <v>185619.20000000001</v>
      </c>
      <c r="I7" s="121">
        <f t="shared" si="2"/>
        <v>172285.86666666667</v>
      </c>
      <c r="J7" s="121">
        <f t="shared" si="2"/>
        <v>172285.86666666667</v>
      </c>
      <c r="K7" s="121">
        <f t="shared" si="2"/>
        <v>172285.86666666667</v>
      </c>
      <c r="L7" s="121">
        <f t="shared" si="2"/>
        <v>168952.53333333333</v>
      </c>
      <c r="M7" s="121">
        <f t="shared" si="2"/>
        <v>185619.20000000001</v>
      </c>
      <c r="N7" s="121">
        <f t="shared" si="2"/>
        <v>185619.20000000001</v>
      </c>
      <c r="O7" s="122">
        <f t="shared" si="2"/>
        <v>185619.20000000001</v>
      </c>
    </row>
    <row r="8" spans="1:19" ht="15" hidden="1" customHeight="1" x14ac:dyDescent="0.25">
      <c r="A8" s="69"/>
      <c r="B8" s="180"/>
      <c r="C8" s="145" t="s">
        <v>64</v>
      </c>
      <c r="D8" s="121">
        <f>IF(D7&lt;120000,D7*0.28,120000*0.28)</f>
        <v>33600</v>
      </c>
      <c r="E8" s="121">
        <f t="shared" ref="E8:O8" si="3">IF(E7&lt;120000,E7*0.28,120000*0.28)</f>
        <v>0</v>
      </c>
      <c r="F8" s="121">
        <f t="shared" si="3"/>
        <v>33600</v>
      </c>
      <c r="G8" s="121">
        <f t="shared" si="3"/>
        <v>33600</v>
      </c>
      <c r="H8" s="121">
        <f t="shared" si="3"/>
        <v>33600</v>
      </c>
      <c r="I8" s="121">
        <f t="shared" si="3"/>
        <v>33600</v>
      </c>
      <c r="J8" s="121">
        <f t="shared" si="3"/>
        <v>33600</v>
      </c>
      <c r="K8" s="121">
        <f t="shared" si="3"/>
        <v>33600</v>
      </c>
      <c r="L8" s="121">
        <f t="shared" si="3"/>
        <v>33600</v>
      </c>
      <c r="M8" s="121">
        <f t="shared" si="3"/>
        <v>33600</v>
      </c>
      <c r="N8" s="121">
        <f t="shared" si="3"/>
        <v>33600</v>
      </c>
      <c r="O8" s="122">
        <f t="shared" si="3"/>
        <v>33600</v>
      </c>
    </row>
    <row r="9" spans="1:19" ht="15" hidden="1" customHeight="1" x14ac:dyDescent="0.25">
      <c r="A9" s="69"/>
      <c r="B9" s="180"/>
      <c r="C9" s="145" t="s">
        <v>65</v>
      </c>
      <c r="D9" s="121">
        <f>IF(D7-120000&gt;0,(D7-120000)*40%,0)</f>
        <v>57581.33333333335</v>
      </c>
      <c r="E9" s="121">
        <f t="shared" ref="E9:O9" si="4">IF(E7-120000&gt;0,(E7-120000)*40%,0)</f>
        <v>0</v>
      </c>
      <c r="F9" s="121">
        <f t="shared" si="4"/>
        <v>10624</v>
      </c>
      <c r="G9" s="121">
        <f t="shared" si="4"/>
        <v>853.33333333333144</v>
      </c>
      <c r="H9" s="121">
        <f t="shared" si="4"/>
        <v>26247.680000000008</v>
      </c>
      <c r="I9" s="121">
        <f t="shared" si="4"/>
        <v>20914.346666666668</v>
      </c>
      <c r="J9" s="121">
        <f t="shared" si="4"/>
        <v>20914.346666666668</v>
      </c>
      <c r="K9" s="121">
        <f t="shared" si="4"/>
        <v>20914.346666666668</v>
      </c>
      <c r="L9" s="121">
        <f t="shared" si="4"/>
        <v>19581.013333333332</v>
      </c>
      <c r="M9" s="121">
        <f t="shared" si="4"/>
        <v>26247.680000000008</v>
      </c>
      <c r="N9" s="121">
        <f t="shared" si="4"/>
        <v>26247.680000000008</v>
      </c>
      <c r="O9" s="122">
        <f t="shared" si="4"/>
        <v>26247.680000000008</v>
      </c>
    </row>
    <row r="10" spans="1:19" ht="15" hidden="1" customHeight="1" x14ac:dyDescent="0.25">
      <c r="A10" s="69"/>
      <c r="B10" s="180"/>
      <c r="C10" s="146" t="s">
        <v>19</v>
      </c>
      <c r="D10" s="123">
        <f t="shared" ref="D10:O10" si="5">D8+D9</f>
        <v>91181.333333333343</v>
      </c>
      <c r="E10" s="123">
        <f t="shared" si="5"/>
        <v>0</v>
      </c>
      <c r="F10" s="123">
        <f t="shared" si="5"/>
        <v>44224</v>
      </c>
      <c r="G10" s="123">
        <f t="shared" si="5"/>
        <v>34453.333333333328</v>
      </c>
      <c r="H10" s="123">
        <f t="shared" si="5"/>
        <v>59847.680000000008</v>
      </c>
      <c r="I10" s="123">
        <f t="shared" si="5"/>
        <v>54514.346666666665</v>
      </c>
      <c r="J10" s="123">
        <f t="shared" si="5"/>
        <v>54514.346666666665</v>
      </c>
      <c r="K10" s="123">
        <f t="shared" si="5"/>
        <v>54514.346666666665</v>
      </c>
      <c r="L10" s="123">
        <f t="shared" si="5"/>
        <v>53181.013333333336</v>
      </c>
      <c r="M10" s="123">
        <f t="shared" si="5"/>
        <v>59847.680000000008</v>
      </c>
      <c r="N10" s="123">
        <f t="shared" si="5"/>
        <v>59847.680000000008</v>
      </c>
      <c r="O10" s="124">
        <f t="shared" si="5"/>
        <v>59847.680000000008</v>
      </c>
    </row>
    <row r="11" spans="1:19" ht="15" hidden="1" customHeight="1" x14ac:dyDescent="0.25">
      <c r="A11" s="69"/>
      <c r="B11" s="180"/>
      <c r="C11" s="145" t="s">
        <v>61</v>
      </c>
      <c r="D11" s="125">
        <f>D10</f>
        <v>91181.333333333343</v>
      </c>
      <c r="E11" s="125">
        <f>D11+E10</f>
        <v>91181.333333333343</v>
      </c>
      <c r="F11" s="125">
        <f t="shared" ref="F11:O11" si="6">E11+F10</f>
        <v>135405.33333333334</v>
      </c>
      <c r="G11" s="125">
        <f t="shared" si="6"/>
        <v>169858.66666666669</v>
      </c>
      <c r="H11" s="125">
        <f t="shared" si="6"/>
        <v>229706.34666666668</v>
      </c>
      <c r="I11" s="125">
        <f t="shared" si="6"/>
        <v>284220.69333333336</v>
      </c>
      <c r="J11" s="125">
        <f t="shared" si="6"/>
        <v>338735.04000000004</v>
      </c>
      <c r="K11" s="125">
        <f t="shared" si="6"/>
        <v>393249.38666666672</v>
      </c>
      <c r="L11" s="125">
        <f t="shared" si="6"/>
        <v>446430.4</v>
      </c>
      <c r="M11" s="125">
        <f t="shared" si="6"/>
        <v>506278.08</v>
      </c>
      <c r="N11" s="125">
        <f t="shared" si="6"/>
        <v>566125.76</v>
      </c>
      <c r="O11" s="126">
        <f t="shared" si="6"/>
        <v>625973.44000000006</v>
      </c>
    </row>
    <row r="12" spans="1:19" ht="15" customHeight="1" thickBot="1" x14ac:dyDescent="0.3">
      <c r="A12" s="69"/>
      <c r="B12" s="180"/>
      <c r="C12" s="14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8"/>
    </row>
    <row r="13" spans="1:19" ht="15" customHeight="1" x14ac:dyDescent="0.25">
      <c r="A13" s="72"/>
      <c r="B13" s="180"/>
      <c r="C13" s="148" t="s">
        <v>66</v>
      </c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30"/>
    </row>
    <row r="14" spans="1:19" x14ac:dyDescent="0.25">
      <c r="A14" s="70"/>
      <c r="B14" s="180"/>
      <c r="C14" s="145" t="s">
        <v>57</v>
      </c>
      <c r="D14" s="131">
        <f>D3</f>
        <v>416090</v>
      </c>
      <c r="E14" s="131">
        <f t="shared" ref="E14:O14" si="7">D14+E3</f>
        <v>481090</v>
      </c>
      <c r="F14" s="131">
        <f t="shared" si="7"/>
        <v>721090</v>
      </c>
      <c r="G14" s="131">
        <f t="shared" si="7"/>
        <v>921090</v>
      </c>
      <c r="H14" s="131">
        <f t="shared" si="7"/>
        <v>1221090</v>
      </c>
      <c r="I14" s="131">
        <f t="shared" si="7"/>
        <v>1501090</v>
      </c>
      <c r="J14" s="131">
        <f t="shared" si="7"/>
        <v>1781090</v>
      </c>
      <c r="K14" s="131">
        <f t="shared" si="7"/>
        <v>2061090</v>
      </c>
      <c r="L14" s="131">
        <f t="shared" si="7"/>
        <v>2336090</v>
      </c>
      <c r="M14" s="131">
        <f t="shared" si="7"/>
        <v>2636090</v>
      </c>
      <c r="N14" s="131">
        <f t="shared" si="7"/>
        <v>2936090</v>
      </c>
      <c r="O14" s="122">
        <f t="shared" si="7"/>
        <v>3236090</v>
      </c>
      <c r="P14" s="7"/>
      <c r="Q14" s="7"/>
    </row>
    <row r="15" spans="1:19" x14ac:dyDescent="0.25">
      <c r="A15" s="71"/>
      <c r="B15" s="180"/>
      <c r="C15" s="145" t="s">
        <v>58</v>
      </c>
      <c r="D15" s="131">
        <f>D5</f>
        <v>13439.999999999998</v>
      </c>
      <c r="E15" s="131">
        <f>D15+E5</f>
        <v>17079.999999999996</v>
      </c>
      <c r="F15" s="131">
        <f t="shared" ref="F15:O15" si="8">E15+F5</f>
        <v>30519.999999999993</v>
      </c>
      <c r="G15" s="131">
        <f>F15+G5</f>
        <v>41719.999999999993</v>
      </c>
      <c r="H15" s="131">
        <f t="shared" si="8"/>
        <v>56100.799999999988</v>
      </c>
      <c r="I15" s="131">
        <f t="shared" si="8"/>
        <v>70481.599999999991</v>
      </c>
      <c r="J15" s="131">
        <f t="shared" si="8"/>
        <v>84862.399999999994</v>
      </c>
      <c r="K15" s="131">
        <f t="shared" si="8"/>
        <v>99243.199999999997</v>
      </c>
      <c r="L15" s="131">
        <f t="shared" si="8"/>
        <v>113624</v>
      </c>
      <c r="M15" s="131">
        <f t="shared" si="8"/>
        <v>128004.8</v>
      </c>
      <c r="N15" s="131">
        <f t="shared" si="8"/>
        <v>142385.60000000001</v>
      </c>
      <c r="O15" s="122">
        <f t="shared" si="8"/>
        <v>156766.39999999999</v>
      </c>
      <c r="Q15" s="7"/>
    </row>
    <row r="16" spans="1:19" x14ac:dyDescent="0.25">
      <c r="A16" s="26"/>
      <c r="B16" s="180"/>
      <c r="C16" s="145" t="s">
        <v>72</v>
      </c>
      <c r="D16" s="131">
        <f>IF(D14&gt;(195000*D4),D14/3,(65000*D4))</f>
        <v>138696.66666666666</v>
      </c>
      <c r="E16" s="131">
        <f>IF(E14&gt;(195000*E4),E14/3,(65000*E4))</f>
        <v>160363.33333333334</v>
      </c>
      <c r="F16" s="131">
        <f t="shared" ref="F16:O16" si="9">IF(F14&gt;(195000*F4),F14/3,(65000*F4))</f>
        <v>240363.33333333334</v>
      </c>
      <c r="G16" s="131">
        <f t="shared" si="9"/>
        <v>307030</v>
      </c>
      <c r="H16" s="131">
        <f t="shared" si="9"/>
        <v>407030</v>
      </c>
      <c r="I16" s="131">
        <f t="shared" si="9"/>
        <v>500363.33333333331</v>
      </c>
      <c r="J16" s="131">
        <f t="shared" si="9"/>
        <v>593696.66666666663</v>
      </c>
      <c r="K16" s="131">
        <f t="shared" si="9"/>
        <v>687030</v>
      </c>
      <c r="L16" s="131">
        <f t="shared" si="9"/>
        <v>778696.66666666663</v>
      </c>
      <c r="M16" s="131">
        <f t="shared" si="9"/>
        <v>878696.66666666663</v>
      </c>
      <c r="N16" s="131">
        <f t="shared" si="9"/>
        <v>978696.66666666663</v>
      </c>
      <c r="O16" s="131">
        <f t="shared" si="9"/>
        <v>1078696.6666666667</v>
      </c>
      <c r="S16" s="7"/>
    </row>
    <row r="17" spans="1:17" x14ac:dyDescent="0.25">
      <c r="A17" s="26"/>
      <c r="B17" s="180"/>
      <c r="C17" s="145" t="s">
        <v>56</v>
      </c>
      <c r="D17" s="131">
        <f t="shared" ref="D17:O17" si="10">IF((D14-(D15+D16))&lt;0,0,(D14-(D15+D16)))</f>
        <v>263953.33333333337</v>
      </c>
      <c r="E17" s="131">
        <f>IF((E14-(E15+E16))&lt;0,0,(E14-(E15+E16)))</f>
        <v>303646.66666666663</v>
      </c>
      <c r="F17" s="131">
        <f t="shared" si="10"/>
        <v>450206.66666666669</v>
      </c>
      <c r="G17" s="131">
        <f t="shared" si="10"/>
        <v>572340</v>
      </c>
      <c r="H17" s="131">
        <f t="shared" si="10"/>
        <v>757959.2</v>
      </c>
      <c r="I17" s="131">
        <f t="shared" si="10"/>
        <v>930245.06666666665</v>
      </c>
      <c r="J17" s="131">
        <f t="shared" si="10"/>
        <v>1102530.9333333333</v>
      </c>
      <c r="K17" s="131">
        <f>IF((K14-(K15+K16))&lt;0,0,(K14-(K15+K16)))</f>
        <v>1274816.8</v>
      </c>
      <c r="L17" s="131">
        <f t="shared" si="10"/>
        <v>1443769.3333333335</v>
      </c>
      <c r="M17" s="131">
        <f t="shared" si="10"/>
        <v>1629388.5333333332</v>
      </c>
      <c r="N17" s="131">
        <f t="shared" si="10"/>
        <v>1815007.7333333334</v>
      </c>
      <c r="O17" s="122">
        <f t="shared" si="10"/>
        <v>2000626.9333333333</v>
      </c>
      <c r="Q17" s="7"/>
    </row>
    <row r="18" spans="1:17" x14ac:dyDescent="0.25">
      <c r="A18" s="26"/>
      <c r="B18" s="180"/>
      <c r="C18" s="145" t="s">
        <v>59</v>
      </c>
      <c r="D18" s="131">
        <f>IF(D17&lt;((1560000/12) * D4),D17*0.28,((1560000/12)*D4*0.28))</f>
        <v>36400</v>
      </c>
      <c r="E18" s="131">
        <f t="shared" ref="E18:O18" si="11">IF(E17&lt;((1560000/12) * E4),E17*0.28,((1560000/12)*E4*0.28))</f>
        <v>72800</v>
      </c>
      <c r="F18" s="131">
        <f t="shared" si="11"/>
        <v>109200.00000000001</v>
      </c>
      <c r="G18" s="131">
        <f t="shared" si="11"/>
        <v>145600</v>
      </c>
      <c r="H18" s="131">
        <f t="shared" si="11"/>
        <v>182000.00000000003</v>
      </c>
      <c r="I18" s="131">
        <f>IF(I17&lt;((1560000/12) * I4),I17*0.28,((1560000/12)*I4*0.28))</f>
        <v>218400.00000000003</v>
      </c>
      <c r="J18" s="131">
        <f t="shared" si="11"/>
        <v>254800.00000000003</v>
      </c>
      <c r="K18" s="131">
        <f t="shared" si="11"/>
        <v>291200</v>
      </c>
      <c r="L18" s="131">
        <f t="shared" si="11"/>
        <v>327600.00000000006</v>
      </c>
      <c r="M18" s="131">
        <f t="shared" si="11"/>
        <v>364000.00000000006</v>
      </c>
      <c r="N18" s="131">
        <f t="shared" si="11"/>
        <v>400400.00000000006</v>
      </c>
      <c r="O18" s="132">
        <f t="shared" si="11"/>
        <v>436800.00000000006</v>
      </c>
      <c r="Q18" s="7"/>
    </row>
    <row r="19" spans="1:17" x14ac:dyDescent="0.25">
      <c r="A19" s="26"/>
      <c r="B19" s="180"/>
      <c r="C19" s="149" t="s">
        <v>60</v>
      </c>
      <c r="D19" s="133">
        <f>IF(D17-((1560000/12)*D4)&gt;0,(D17-((1560000/12)*D4))*40%,0)</f>
        <v>53581.33333333335</v>
      </c>
      <c r="E19" s="133">
        <f t="shared" ref="E19:O19" si="12">IF(E17-((1560000/12)*E4)&gt;0,(E17-((1560000/12)*E4))*40%,0)</f>
        <v>17458.666666666653</v>
      </c>
      <c r="F19" s="133">
        <f t="shared" si="12"/>
        <v>24082.666666666675</v>
      </c>
      <c r="G19" s="133">
        <f t="shared" si="12"/>
        <v>20936</v>
      </c>
      <c r="H19" s="133">
        <f t="shared" si="12"/>
        <v>43183.679999999986</v>
      </c>
      <c r="I19" s="133">
        <f t="shared" si="12"/>
        <v>60098.026666666665</v>
      </c>
      <c r="J19" s="133">
        <f t="shared" si="12"/>
        <v>77012.373333333337</v>
      </c>
      <c r="K19" s="133">
        <f t="shared" si="12"/>
        <v>93926.72000000003</v>
      </c>
      <c r="L19" s="133">
        <f t="shared" si="12"/>
        <v>109507.7333333334</v>
      </c>
      <c r="M19" s="133">
        <f t="shared" si="12"/>
        <v>131755.4133333333</v>
      </c>
      <c r="N19" s="133">
        <f t="shared" si="12"/>
        <v>154003.09333333335</v>
      </c>
      <c r="O19" s="134">
        <f t="shared" si="12"/>
        <v>176250.77333333335</v>
      </c>
      <c r="Q19" s="7"/>
    </row>
    <row r="20" spans="1:17" x14ac:dyDescent="0.25">
      <c r="A20" s="26"/>
      <c r="B20" s="180"/>
      <c r="C20" s="150" t="s">
        <v>67</v>
      </c>
      <c r="D20" s="135">
        <f>D18+D19</f>
        <v>89981.333333333343</v>
      </c>
      <c r="E20" s="135">
        <f>E18+E19</f>
        <v>90258.666666666657</v>
      </c>
      <c r="F20" s="135">
        <f t="shared" ref="F20:O20" si="13">F18+F19</f>
        <v>133282.66666666669</v>
      </c>
      <c r="G20" s="135">
        <f t="shared" si="13"/>
        <v>166536</v>
      </c>
      <c r="H20" s="135">
        <f t="shared" si="13"/>
        <v>225183.68000000002</v>
      </c>
      <c r="I20" s="135">
        <f t="shared" si="13"/>
        <v>278498.02666666667</v>
      </c>
      <c r="J20" s="135">
        <f t="shared" si="13"/>
        <v>331812.37333333335</v>
      </c>
      <c r="K20" s="135">
        <f t="shared" si="13"/>
        <v>385126.72000000003</v>
      </c>
      <c r="L20" s="135">
        <f t="shared" si="13"/>
        <v>437107.73333333345</v>
      </c>
      <c r="M20" s="135">
        <f t="shared" si="13"/>
        <v>495755.41333333333</v>
      </c>
      <c r="N20" s="135">
        <f t="shared" si="13"/>
        <v>554403.09333333338</v>
      </c>
      <c r="O20" s="136">
        <f t="shared" si="13"/>
        <v>613050.77333333343</v>
      </c>
      <c r="Q20" s="26"/>
    </row>
    <row r="21" spans="1:17" x14ac:dyDescent="0.25">
      <c r="A21" s="7"/>
      <c r="B21" s="180"/>
      <c r="C21" s="151" t="s">
        <v>71</v>
      </c>
      <c r="D21" s="137">
        <v>0</v>
      </c>
      <c r="E21" s="137">
        <f>D23</f>
        <v>89981.333333333343</v>
      </c>
      <c r="F21" s="137">
        <f>E23</f>
        <v>90258.666666666657</v>
      </c>
      <c r="G21" s="137">
        <f t="shared" ref="G21:O21" si="14">F23</f>
        <v>133282.66666666669</v>
      </c>
      <c r="H21" s="137">
        <f t="shared" si="14"/>
        <v>166536</v>
      </c>
      <c r="I21" s="137">
        <f t="shared" si="14"/>
        <v>225183.68000000002</v>
      </c>
      <c r="J21" s="137">
        <f t="shared" si="14"/>
        <v>278498.02666666667</v>
      </c>
      <c r="K21" s="137">
        <f t="shared" si="14"/>
        <v>331812.37333333335</v>
      </c>
      <c r="L21" s="137">
        <f t="shared" si="14"/>
        <v>385126.72000000003</v>
      </c>
      <c r="M21" s="137">
        <f t="shared" si="14"/>
        <v>437107.73333333345</v>
      </c>
      <c r="N21" s="137">
        <f t="shared" si="14"/>
        <v>495755.41333333333</v>
      </c>
      <c r="O21" s="138">
        <f t="shared" si="14"/>
        <v>554403.09333333338</v>
      </c>
    </row>
    <row r="22" spans="1:17" ht="15.75" thickBot="1" x14ac:dyDescent="0.3">
      <c r="A22" s="26"/>
      <c r="B22" s="180"/>
      <c r="C22" s="152" t="s">
        <v>70</v>
      </c>
      <c r="D22" s="139">
        <f>D20-D21</f>
        <v>89981.333333333343</v>
      </c>
      <c r="E22" s="139">
        <f>E20-E21</f>
        <v>277.33333333331393</v>
      </c>
      <c r="F22" s="139">
        <f t="shared" ref="F22:O22" si="15">F20-F21</f>
        <v>43024.000000000029</v>
      </c>
      <c r="G22" s="139">
        <f t="shared" si="15"/>
        <v>33253.333333333314</v>
      </c>
      <c r="H22" s="139">
        <f t="shared" si="15"/>
        <v>58647.680000000022</v>
      </c>
      <c r="I22" s="139">
        <f t="shared" si="15"/>
        <v>53314.34666666665</v>
      </c>
      <c r="J22" s="139">
        <f t="shared" si="15"/>
        <v>53314.346666666679</v>
      </c>
      <c r="K22" s="139">
        <f t="shared" si="15"/>
        <v>53314.346666666679</v>
      </c>
      <c r="L22" s="139">
        <f t="shared" si="15"/>
        <v>51981.013333333423</v>
      </c>
      <c r="M22" s="139">
        <f t="shared" si="15"/>
        <v>58647.679999999877</v>
      </c>
      <c r="N22" s="139">
        <f t="shared" si="15"/>
        <v>58647.680000000051</v>
      </c>
      <c r="O22" s="140">
        <f t="shared" si="15"/>
        <v>58647.680000000051</v>
      </c>
      <c r="P22" s="26"/>
    </row>
    <row r="23" spans="1:17" ht="15.75" hidden="1" thickBot="1" x14ac:dyDescent="0.3">
      <c r="A23" s="7"/>
      <c r="B23" s="181"/>
      <c r="C23" s="79" t="s">
        <v>61</v>
      </c>
      <c r="D23" s="73">
        <f>D22</f>
        <v>89981.333333333343</v>
      </c>
      <c r="E23" s="73">
        <f>E22+E21</f>
        <v>90258.666666666657</v>
      </c>
      <c r="F23" s="73">
        <f t="shared" ref="F23:O23" si="16">F22+F21</f>
        <v>133282.66666666669</v>
      </c>
      <c r="G23" s="73">
        <f t="shared" si="16"/>
        <v>166536</v>
      </c>
      <c r="H23" s="73">
        <f t="shared" si="16"/>
        <v>225183.68000000002</v>
      </c>
      <c r="I23" s="73">
        <f t="shared" si="16"/>
        <v>278498.02666666667</v>
      </c>
      <c r="J23" s="73">
        <f t="shared" si="16"/>
        <v>331812.37333333335</v>
      </c>
      <c r="K23" s="73">
        <f t="shared" si="16"/>
        <v>385126.72000000003</v>
      </c>
      <c r="L23" s="73">
        <f t="shared" si="16"/>
        <v>437107.73333333345</v>
      </c>
      <c r="M23" s="73">
        <f t="shared" si="16"/>
        <v>495755.41333333333</v>
      </c>
      <c r="N23" s="73">
        <f t="shared" si="16"/>
        <v>554403.09333333338</v>
      </c>
      <c r="O23" s="80">
        <f t="shared" si="16"/>
        <v>613050.77333333343</v>
      </c>
      <c r="P23" s="26"/>
      <c r="Q23" s="67"/>
    </row>
  </sheetData>
  <sheetProtection algorithmName="SHA-512" hashValue="gPP+9RNFREpbgQEdOfG2UXPtsKbjrEHFO8qH110x3WDJQSZ8zONT9CYpmfyFEjTiyLi4WPZXr8x2MH/LHGp+rQ==" saltValue="MLAmL7jzFDQHtza8ZCwVuA==" spinCount="100000" sheet="1" formatCells="0" formatColumns="0" formatRows="0" insertColumns="0" insertRows="0" insertHyperlinks="0" deleteColumns="0" deleteRows="0" sort="0" autoFilter="0" pivotTables="0"/>
  <mergeCells count="1">
    <mergeCell ref="B3:B2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topLeftCell="F4" zoomScale="160" zoomScaleNormal="160" workbookViewId="0">
      <selection activeCell="G18" sqref="G18"/>
    </sheetView>
  </sheetViews>
  <sheetFormatPr defaultRowHeight="15" x14ac:dyDescent="0.25"/>
  <cols>
    <col min="1" max="1" width="15.7109375" customWidth="1"/>
    <col min="2" max="2" width="13" customWidth="1"/>
    <col min="3" max="3" width="14.7109375" customWidth="1"/>
    <col min="4" max="4" width="14" customWidth="1"/>
    <col min="5" max="5" width="12.7109375" customWidth="1"/>
    <col min="6" max="6" width="16.5703125" customWidth="1"/>
    <col min="7" max="7" width="16.28515625" customWidth="1"/>
    <col min="8" max="8" width="13.28515625" customWidth="1"/>
    <col min="9" max="9" width="14.5703125" customWidth="1"/>
    <col min="10" max="10" width="13.5703125" customWidth="1"/>
    <col min="11" max="11" width="13.28515625" customWidth="1"/>
    <col min="12" max="12" width="13" customWidth="1"/>
    <col min="13" max="13" width="8.85546875" bestFit="1" customWidth="1"/>
    <col min="14" max="14" width="14" customWidth="1"/>
    <col min="15" max="15" width="23.28515625" style="49" customWidth="1"/>
    <col min="16" max="16" width="12.7109375" bestFit="1" customWidth="1"/>
  </cols>
  <sheetData>
    <row r="1" spans="2:16" x14ac:dyDescent="0.25">
      <c r="F1" s="43"/>
      <c r="G1" s="43"/>
    </row>
    <row r="2" spans="2:16" x14ac:dyDescent="0.25">
      <c r="C2" s="42" t="s">
        <v>28</v>
      </c>
      <c r="D2" s="42" t="s">
        <v>29</v>
      </c>
      <c r="E2" s="42" t="s">
        <v>30</v>
      </c>
      <c r="F2" s="42" t="s">
        <v>31</v>
      </c>
      <c r="G2" s="42" t="s">
        <v>32</v>
      </c>
      <c r="H2" s="42" t="s">
        <v>33</v>
      </c>
      <c r="I2" s="42" t="s">
        <v>34</v>
      </c>
      <c r="J2" s="42" t="s">
        <v>35</v>
      </c>
      <c r="K2" s="42" t="s">
        <v>36</v>
      </c>
      <c r="L2" s="42" t="s">
        <v>37</v>
      </c>
      <c r="M2" s="42" t="s">
        <v>38</v>
      </c>
      <c r="N2" s="42" t="s">
        <v>39</v>
      </c>
    </row>
    <row r="3" spans="2:16" x14ac:dyDescent="0.25">
      <c r="B3" s="42" t="s">
        <v>41</v>
      </c>
      <c r="C3" s="44">
        <v>120000</v>
      </c>
      <c r="D3" s="44">
        <v>160000</v>
      </c>
      <c r="E3" s="44">
        <v>180000</v>
      </c>
      <c r="F3" s="44">
        <v>200000</v>
      </c>
      <c r="G3" s="44">
        <v>250000</v>
      </c>
      <c r="H3" s="44">
        <v>125000</v>
      </c>
      <c r="I3" s="44">
        <v>210000</v>
      </c>
      <c r="J3" s="44">
        <v>400000</v>
      </c>
      <c r="K3" s="44">
        <v>325000</v>
      </c>
      <c r="L3" s="44">
        <v>120000</v>
      </c>
      <c r="M3" s="44">
        <v>175000</v>
      </c>
      <c r="N3" s="44">
        <v>125000</v>
      </c>
      <c r="O3" s="48">
        <f>SUM(C3:N3)</f>
        <v>2390000</v>
      </c>
    </row>
    <row r="4" spans="2:16" x14ac:dyDescent="0.25">
      <c r="B4" s="42"/>
      <c r="C4" s="27"/>
      <c r="D4" s="27"/>
      <c r="E4" s="27"/>
      <c r="F4" s="27"/>
      <c r="H4" s="27"/>
      <c r="I4" s="27"/>
      <c r="J4" s="27"/>
      <c r="K4" s="27"/>
      <c r="L4" s="27"/>
      <c r="M4" s="27"/>
      <c r="N4" s="27"/>
      <c r="O4" s="48">
        <f t="shared" ref="O4:O8" si="0">SUM(C4:N4)</f>
        <v>0</v>
      </c>
    </row>
    <row r="5" spans="2:16" x14ac:dyDescent="0.25">
      <c r="B5" s="42" t="s">
        <v>42</v>
      </c>
      <c r="C5" s="27">
        <v>60000</v>
      </c>
      <c r="D5" s="27">
        <v>60000</v>
      </c>
      <c r="E5" s="27">
        <v>60000</v>
      </c>
      <c r="F5" s="46">
        <f>F3/3</f>
        <v>66666.666666666672</v>
      </c>
      <c r="G5" s="7">
        <f>G3/3</f>
        <v>83333.333333333328</v>
      </c>
      <c r="H5" s="27">
        <v>60000</v>
      </c>
      <c r="I5" s="27">
        <f>I3/3</f>
        <v>70000</v>
      </c>
      <c r="J5" s="46">
        <f>J3/3</f>
        <v>133333.33333333334</v>
      </c>
      <c r="K5" s="46">
        <f>K3/3</f>
        <v>108333.33333333333</v>
      </c>
      <c r="L5" s="27">
        <v>60000</v>
      </c>
      <c r="M5" s="27">
        <v>60000</v>
      </c>
      <c r="N5" s="27">
        <v>60000</v>
      </c>
      <c r="O5" s="48">
        <f t="shared" si="0"/>
        <v>881666.66666666674</v>
      </c>
    </row>
    <row r="6" spans="2:16" x14ac:dyDescent="0.25">
      <c r="B6" s="42" t="s">
        <v>40</v>
      </c>
      <c r="C6" s="27">
        <f>IF((C3*0.056)&lt;12320,(C3*0.056),12320)</f>
        <v>6720</v>
      </c>
      <c r="D6" s="27">
        <f t="shared" ref="D6:G6" si="1">IF((D3*0.056)&lt;12320,(D3*0.056),12320)</f>
        <v>8960</v>
      </c>
      <c r="E6" s="27">
        <f t="shared" si="1"/>
        <v>10080</v>
      </c>
      <c r="F6" s="27">
        <f t="shared" si="1"/>
        <v>11200</v>
      </c>
      <c r="G6" s="27">
        <f t="shared" si="1"/>
        <v>12320</v>
      </c>
      <c r="H6" s="27">
        <f>H3*5.6%</f>
        <v>6999.9999999999991</v>
      </c>
      <c r="I6" s="27">
        <f>I3*5.6%</f>
        <v>11759.999999999998</v>
      </c>
      <c r="J6" s="27">
        <v>12320</v>
      </c>
      <c r="K6" s="27">
        <v>12350</v>
      </c>
      <c r="L6" s="27">
        <f>L3*5.6%</f>
        <v>6719.9999999999991</v>
      </c>
      <c r="M6" s="27">
        <f>M3*5.6%</f>
        <v>9799.9999999999982</v>
      </c>
      <c r="N6" s="27">
        <f>N3*5.6%</f>
        <v>6999.9999999999991</v>
      </c>
      <c r="O6" s="48">
        <f t="shared" si="0"/>
        <v>116230</v>
      </c>
    </row>
    <row r="7" spans="2:16" s="54" customFormat="1" x14ac:dyDescent="0.25">
      <c r="B7" s="51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3">
        <f t="shared" si="0"/>
        <v>0</v>
      </c>
    </row>
    <row r="8" spans="2:16" s="42" customFormat="1" x14ac:dyDescent="0.25">
      <c r="B8" s="42" t="s">
        <v>4</v>
      </c>
      <c r="C8" s="44">
        <f>C3-(C5+C6)</f>
        <v>53280</v>
      </c>
      <c r="D8" s="44">
        <f t="shared" ref="D8:N8" si="2">D3-(D5+D6)</f>
        <v>91040</v>
      </c>
      <c r="E8" s="44">
        <f t="shared" si="2"/>
        <v>109920</v>
      </c>
      <c r="F8" s="44">
        <f t="shared" si="2"/>
        <v>122133.33333333333</v>
      </c>
      <c r="G8" s="44">
        <f t="shared" si="2"/>
        <v>154346.66666666669</v>
      </c>
      <c r="H8" s="44">
        <f t="shared" si="2"/>
        <v>58000</v>
      </c>
      <c r="I8" s="44">
        <f t="shared" si="2"/>
        <v>128240</v>
      </c>
      <c r="J8" s="44">
        <f t="shared" si="2"/>
        <v>254346.66666666666</v>
      </c>
      <c r="K8" s="44">
        <f t="shared" si="2"/>
        <v>204316.66666666669</v>
      </c>
      <c r="L8" s="44">
        <f t="shared" si="2"/>
        <v>53280</v>
      </c>
      <c r="M8" s="44">
        <f t="shared" si="2"/>
        <v>105200</v>
      </c>
      <c r="N8" s="44">
        <f t="shared" si="2"/>
        <v>58000</v>
      </c>
      <c r="O8" s="48">
        <f t="shared" si="0"/>
        <v>1392103.3333333333</v>
      </c>
      <c r="P8"/>
    </row>
    <row r="9" spans="2:16" x14ac:dyDescent="0.25">
      <c r="G9" s="27"/>
    </row>
    <row r="10" spans="2:16" x14ac:dyDescent="0.25">
      <c r="C10" s="27">
        <v>4.0000000000000001E-3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48"/>
    </row>
    <row r="11" spans="2:16" x14ac:dyDescent="0.25">
      <c r="B11" s="42">
        <v>0.28000000000000003</v>
      </c>
      <c r="C11" s="27">
        <f>IF(C8&lt;120000,C8*0.28,120000*0.28)</f>
        <v>14918.400000000001</v>
      </c>
      <c r="D11" s="27">
        <f t="shared" ref="D11:N11" si="3">IF(D8&lt;120000,D8*0.28,120000*0.28)</f>
        <v>25491.200000000001</v>
      </c>
      <c r="E11" s="27">
        <f t="shared" si="3"/>
        <v>30777.600000000002</v>
      </c>
      <c r="F11" s="27">
        <f t="shared" si="3"/>
        <v>33600</v>
      </c>
      <c r="G11" s="27">
        <f t="shared" si="3"/>
        <v>33600</v>
      </c>
      <c r="H11" s="27">
        <f t="shared" si="3"/>
        <v>16240.000000000002</v>
      </c>
      <c r="I11" s="27">
        <f t="shared" si="3"/>
        <v>33600</v>
      </c>
      <c r="J11" s="27">
        <f t="shared" si="3"/>
        <v>33600</v>
      </c>
      <c r="K11" s="27">
        <f t="shared" si="3"/>
        <v>33600</v>
      </c>
      <c r="L11" s="27">
        <f t="shared" si="3"/>
        <v>14918.400000000001</v>
      </c>
      <c r="M11" s="27">
        <f t="shared" si="3"/>
        <v>29456.000000000004</v>
      </c>
      <c r="N11" s="27">
        <f t="shared" si="3"/>
        <v>16240.000000000002</v>
      </c>
      <c r="O11" s="48"/>
    </row>
    <row r="12" spans="2:16" x14ac:dyDescent="0.25">
      <c r="B12" s="42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48"/>
    </row>
    <row r="13" spans="2:16" s="54" customFormat="1" x14ac:dyDescent="0.25">
      <c r="B13" s="55">
        <v>4.0000000000000001E-3</v>
      </c>
      <c r="C13" s="54">
        <f>ROUND(IF(C8-120000&gt;0,(C8-120000)*40%,0),0)</f>
        <v>0</v>
      </c>
      <c r="D13" s="54">
        <f t="shared" ref="D13:O13" si="4">ROUND(IF(D8-120000&gt;0,(D8-120000)*40%,0),0)</f>
        <v>0</v>
      </c>
      <c r="E13" s="54">
        <f t="shared" si="4"/>
        <v>0</v>
      </c>
      <c r="F13" s="54">
        <f t="shared" si="4"/>
        <v>853</v>
      </c>
      <c r="G13" s="54">
        <f t="shared" si="4"/>
        <v>13739</v>
      </c>
      <c r="H13" s="54">
        <f t="shared" si="4"/>
        <v>0</v>
      </c>
      <c r="I13" s="54">
        <f t="shared" si="4"/>
        <v>3296</v>
      </c>
      <c r="J13" s="54">
        <f t="shared" si="4"/>
        <v>53739</v>
      </c>
      <c r="K13" s="54">
        <f t="shared" si="4"/>
        <v>33727</v>
      </c>
      <c r="L13" s="54">
        <f t="shared" si="4"/>
        <v>0</v>
      </c>
      <c r="M13" s="54">
        <f t="shared" si="4"/>
        <v>0</v>
      </c>
      <c r="N13" s="54">
        <f t="shared" si="4"/>
        <v>0</v>
      </c>
      <c r="O13" s="51">
        <f t="shared" si="4"/>
        <v>508841</v>
      </c>
    </row>
    <row r="14" spans="2:16" x14ac:dyDescent="0.25">
      <c r="B14" s="42" t="s">
        <v>43</v>
      </c>
      <c r="C14" s="26">
        <f>C13+C11</f>
        <v>14918.400000000001</v>
      </c>
      <c r="D14" s="26">
        <f t="shared" ref="D14:N14" si="5">D13+D11</f>
        <v>25491.200000000001</v>
      </c>
      <c r="E14" s="26">
        <f t="shared" si="5"/>
        <v>30777.600000000002</v>
      </c>
      <c r="F14" s="26">
        <f t="shared" si="5"/>
        <v>34453</v>
      </c>
      <c r="G14" s="26">
        <f t="shared" si="5"/>
        <v>47339</v>
      </c>
      <c r="H14" s="26">
        <f t="shared" si="5"/>
        <v>16240.000000000002</v>
      </c>
      <c r="I14" s="26">
        <f t="shared" si="5"/>
        <v>36896</v>
      </c>
      <c r="J14" s="26">
        <f t="shared" si="5"/>
        <v>87339</v>
      </c>
      <c r="K14" s="26">
        <f t="shared" si="5"/>
        <v>67327</v>
      </c>
      <c r="L14" s="26">
        <f t="shared" si="5"/>
        <v>14918.400000000001</v>
      </c>
      <c r="M14" s="26">
        <f t="shared" si="5"/>
        <v>29456.000000000004</v>
      </c>
      <c r="N14" s="26">
        <f t="shared" si="5"/>
        <v>16240.000000000002</v>
      </c>
      <c r="O14" s="50">
        <f>SUM(C14:N14)</f>
        <v>421395.60000000003</v>
      </c>
    </row>
    <row r="15" spans="2:16" x14ac:dyDescent="0.25">
      <c r="I15" s="45"/>
    </row>
    <row r="16" spans="2:16" x14ac:dyDescent="0.25">
      <c r="I16" s="45"/>
    </row>
    <row r="17" spans="1:20" x14ac:dyDescent="0.25">
      <c r="A17" t="s">
        <v>44</v>
      </c>
      <c r="B17" t="s">
        <v>45</v>
      </c>
      <c r="G17" t="s">
        <v>54</v>
      </c>
      <c r="H17" t="s">
        <v>51</v>
      </c>
      <c r="I17" s="45"/>
    </row>
    <row r="18" spans="1:20" x14ac:dyDescent="0.25">
      <c r="A18" t="s">
        <v>48</v>
      </c>
      <c r="C18" s="26">
        <f>C3</f>
        <v>120000</v>
      </c>
      <c r="D18" s="26">
        <f>D3+C3</f>
        <v>280000</v>
      </c>
      <c r="E18" s="26">
        <f>D18+E3</f>
        <v>460000</v>
      </c>
      <c r="F18" s="26">
        <f>E18+F3</f>
        <v>660000</v>
      </c>
      <c r="G18" s="26">
        <f>F18+G3</f>
        <v>910000</v>
      </c>
      <c r="H18" s="26">
        <f>SUM(C3:G3)</f>
        <v>910000</v>
      </c>
      <c r="I18" s="45"/>
    </row>
    <row r="19" spans="1:20" x14ac:dyDescent="0.25">
      <c r="A19" t="s">
        <v>46</v>
      </c>
      <c r="C19">
        <v>120000</v>
      </c>
      <c r="D19" s="26">
        <f>D18/2</f>
        <v>140000</v>
      </c>
      <c r="E19" s="7">
        <f>E18/3</f>
        <v>153333.33333333334</v>
      </c>
      <c r="F19" s="26">
        <f>F18/4</f>
        <v>165000</v>
      </c>
      <c r="G19" s="26">
        <f>G18/5</f>
        <v>182000</v>
      </c>
      <c r="H19" s="26"/>
      <c r="I19" s="45"/>
    </row>
    <row r="20" spans="1:20" x14ac:dyDescent="0.25">
      <c r="A20" s="56" t="s">
        <v>53</v>
      </c>
      <c r="C20">
        <v>60000</v>
      </c>
      <c r="D20">
        <v>60000</v>
      </c>
      <c r="E20">
        <v>60000</v>
      </c>
      <c r="F20">
        <v>60000</v>
      </c>
      <c r="G20">
        <v>180000</v>
      </c>
      <c r="H20" s="26">
        <f>SUM(C5:G5)</f>
        <v>330000</v>
      </c>
      <c r="I20" s="45"/>
    </row>
    <row r="21" spans="1:20" x14ac:dyDescent="0.25">
      <c r="A21" s="47" t="s">
        <v>47</v>
      </c>
      <c r="B21" s="47"/>
      <c r="C21" s="47">
        <v>60000</v>
      </c>
      <c r="D21" s="47">
        <f>D20*2</f>
        <v>120000</v>
      </c>
      <c r="E21" s="47">
        <f>E20*3</f>
        <v>180000</v>
      </c>
      <c r="F21" s="47">
        <f>F20*4</f>
        <v>240000</v>
      </c>
      <c r="G21" s="47">
        <f>G20*5</f>
        <v>900000</v>
      </c>
      <c r="H21" s="57">
        <f>SUM(C5:G5)</f>
        <v>330000</v>
      </c>
      <c r="I21" s="45"/>
    </row>
    <row r="22" spans="1:20" x14ac:dyDescent="0.25">
      <c r="A22" t="s">
        <v>49</v>
      </c>
      <c r="C22" s="26">
        <f>C6</f>
        <v>6720</v>
      </c>
      <c r="D22" s="26">
        <f>C22+D6</f>
        <v>15680</v>
      </c>
      <c r="E22" s="26">
        <f>D22+E6</f>
        <v>25760</v>
      </c>
      <c r="F22" s="26">
        <f t="shared" ref="F22:G22" si="6">E22+F6</f>
        <v>36960</v>
      </c>
      <c r="G22" s="26">
        <f t="shared" si="6"/>
        <v>49280</v>
      </c>
      <c r="H22" s="26">
        <f>SUM(C6:G6)</f>
        <v>49280</v>
      </c>
      <c r="I22" s="45"/>
    </row>
    <row r="23" spans="1:20" x14ac:dyDescent="0.25">
      <c r="A23" t="s">
        <v>50</v>
      </c>
      <c r="C23" s="26">
        <f>C18-C21-C22</f>
        <v>53280</v>
      </c>
      <c r="D23" s="26">
        <f t="shared" ref="D23:F23" si="7">D18-D21-D22</f>
        <v>144320</v>
      </c>
      <c r="E23" s="26">
        <f t="shared" si="7"/>
        <v>254240</v>
      </c>
      <c r="F23" s="26">
        <f t="shared" si="7"/>
        <v>383040</v>
      </c>
      <c r="G23" s="26">
        <f>G18-(G21+G22)</f>
        <v>-39280</v>
      </c>
      <c r="H23" s="26">
        <f>H18-(H21+H22)</f>
        <v>530720</v>
      </c>
      <c r="I23" s="45"/>
    </row>
    <row r="24" spans="1:20" x14ac:dyDescent="0.25">
      <c r="A24" t="s">
        <v>52</v>
      </c>
      <c r="H24" s="26">
        <f>SUM(C14:G14)</f>
        <v>152979.20000000001</v>
      </c>
      <c r="I24" s="45"/>
    </row>
    <row r="25" spans="1:20" x14ac:dyDescent="0.25">
      <c r="I25" s="45"/>
    </row>
    <row r="26" spans="1:20" x14ac:dyDescent="0.25">
      <c r="I26" s="45"/>
    </row>
    <row r="27" spans="1:20" x14ac:dyDescent="0.25">
      <c r="I27" s="45"/>
    </row>
    <row r="28" spans="1:20" x14ac:dyDescent="0.25">
      <c r="I28" s="45"/>
    </row>
    <row r="29" spans="1:20" x14ac:dyDescent="0.25">
      <c r="C29" s="58"/>
      <c r="D29" s="58"/>
      <c r="E29" s="58"/>
      <c r="F29" s="58"/>
      <c r="G29" s="58"/>
      <c r="H29" s="58"/>
      <c r="I29" s="59"/>
      <c r="J29" s="58"/>
      <c r="K29" s="58"/>
      <c r="L29" s="58"/>
      <c r="M29" s="58"/>
      <c r="N29" s="58"/>
      <c r="O29" s="60"/>
      <c r="P29" s="58"/>
      <c r="Q29" s="58"/>
      <c r="R29" s="58"/>
      <c r="S29" s="58"/>
      <c r="T29" s="58"/>
    </row>
    <row r="30" spans="1:20" x14ac:dyDescent="0.25">
      <c r="C30" s="58"/>
      <c r="D30" s="58"/>
      <c r="E30" s="58"/>
      <c r="F30" s="58"/>
      <c r="G30" s="58"/>
      <c r="H30" s="58"/>
      <c r="I30" s="59"/>
      <c r="J30" s="58"/>
      <c r="K30" s="58"/>
      <c r="L30" s="58"/>
      <c r="M30" s="58"/>
      <c r="N30" s="58"/>
      <c r="O30" s="60"/>
      <c r="P30" s="58"/>
      <c r="Q30" s="58"/>
      <c r="R30" s="58"/>
      <c r="S30" s="58"/>
      <c r="T30" s="58"/>
    </row>
    <row r="31" spans="1:20" x14ac:dyDescent="0.25">
      <c r="C31" s="58"/>
      <c r="D31" s="58"/>
      <c r="E31" s="58"/>
      <c r="F31" s="58"/>
      <c r="G31" s="58"/>
      <c r="H31" s="58"/>
      <c r="I31" s="59"/>
      <c r="J31" s="58"/>
      <c r="K31" s="58"/>
      <c r="L31" s="58"/>
      <c r="M31" s="58"/>
      <c r="N31" s="58"/>
      <c r="O31" s="60"/>
      <c r="P31" s="58"/>
      <c r="Q31" s="58"/>
      <c r="R31" s="58"/>
      <c r="S31" s="58"/>
      <c r="T31" s="58"/>
    </row>
    <row r="32" spans="1:20" x14ac:dyDescent="0.25"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60"/>
      <c r="P32" s="58"/>
      <c r="Q32" s="58"/>
      <c r="R32" s="58"/>
      <c r="S32" s="58"/>
      <c r="T32" s="58"/>
    </row>
    <row r="33" spans="3:20" x14ac:dyDescent="0.25">
      <c r="C33" s="183"/>
      <c r="D33" s="183"/>
      <c r="E33" s="183"/>
      <c r="F33" s="183"/>
      <c r="G33" s="183"/>
      <c r="H33" s="183"/>
      <c r="I33" s="183"/>
      <c r="J33" s="183"/>
      <c r="K33" s="58"/>
      <c r="L33" s="58"/>
      <c r="M33" s="58"/>
      <c r="N33" s="58"/>
      <c r="O33" s="60"/>
      <c r="P33" s="58"/>
      <c r="Q33" s="58"/>
      <c r="R33" s="58"/>
      <c r="S33" s="58"/>
      <c r="T33" s="58"/>
    </row>
    <row r="34" spans="3:20" x14ac:dyDescent="0.25">
      <c r="C34" s="183"/>
      <c r="D34" s="183"/>
      <c r="E34" s="183"/>
      <c r="F34" s="183"/>
      <c r="G34" s="183"/>
      <c r="H34" s="183"/>
      <c r="I34" s="183"/>
      <c r="J34" s="183"/>
      <c r="K34" s="58"/>
      <c r="L34" s="58"/>
      <c r="M34" s="58"/>
      <c r="N34" s="58"/>
      <c r="O34" s="60"/>
      <c r="P34" s="58"/>
      <c r="Q34" s="58"/>
      <c r="R34" s="58"/>
      <c r="S34" s="58"/>
      <c r="T34" s="58"/>
    </row>
    <row r="35" spans="3:20" x14ac:dyDescent="0.25"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60"/>
      <c r="P35" s="58"/>
      <c r="Q35" s="58"/>
      <c r="R35" s="58"/>
      <c r="S35" s="58"/>
      <c r="T35" s="58"/>
    </row>
    <row r="36" spans="3:20" x14ac:dyDescent="0.25">
      <c r="C36" s="61"/>
      <c r="D36" s="61"/>
      <c r="E36" s="61"/>
      <c r="F36" s="61"/>
      <c r="G36" s="61"/>
      <c r="H36" s="61"/>
      <c r="I36" s="61"/>
      <c r="J36" s="61"/>
      <c r="K36" s="62"/>
      <c r="L36" s="58"/>
      <c r="M36" s="58"/>
      <c r="N36" s="58"/>
      <c r="O36" s="60"/>
      <c r="P36" s="58"/>
      <c r="Q36" s="58"/>
      <c r="R36" s="58"/>
      <c r="S36" s="58"/>
      <c r="T36" s="58"/>
    </row>
    <row r="37" spans="3:20" x14ac:dyDescent="0.25">
      <c r="C37" s="63"/>
      <c r="D37" s="63"/>
      <c r="E37" s="63"/>
      <c r="F37" s="63"/>
      <c r="G37" s="63"/>
      <c r="H37" s="63"/>
      <c r="I37" s="63"/>
      <c r="J37" s="63"/>
      <c r="K37" s="182"/>
      <c r="L37" s="58"/>
      <c r="M37" s="58"/>
      <c r="N37" s="58"/>
      <c r="O37" s="60"/>
      <c r="P37" s="58"/>
      <c r="Q37" s="58"/>
      <c r="R37" s="58"/>
      <c r="S37" s="58"/>
      <c r="T37" s="58"/>
    </row>
    <row r="38" spans="3:20" x14ac:dyDescent="0.25">
      <c r="C38" s="63"/>
      <c r="D38" s="63"/>
      <c r="E38" s="63"/>
      <c r="F38" s="63"/>
      <c r="G38" s="63"/>
      <c r="H38" s="63"/>
      <c r="I38" s="63"/>
      <c r="J38" s="63"/>
      <c r="K38" s="182"/>
      <c r="L38" s="58"/>
      <c r="M38" s="58"/>
      <c r="N38" s="58"/>
      <c r="O38" s="60"/>
      <c r="P38" s="58"/>
      <c r="Q38" s="58"/>
      <c r="R38" s="58"/>
      <c r="S38" s="58"/>
      <c r="T38" s="58"/>
    </row>
    <row r="39" spans="3:20" x14ac:dyDescent="0.25">
      <c r="C39" s="64"/>
      <c r="D39" s="64"/>
      <c r="E39" s="64"/>
      <c r="F39" s="64"/>
      <c r="G39" s="64"/>
      <c r="H39" s="64"/>
      <c r="I39" s="64"/>
      <c r="J39" s="64"/>
      <c r="K39" s="58"/>
      <c r="L39" s="58"/>
      <c r="M39" s="58"/>
      <c r="N39" s="58"/>
      <c r="O39" s="60"/>
      <c r="P39" s="58"/>
      <c r="Q39" s="58"/>
      <c r="R39" s="58"/>
      <c r="S39" s="58"/>
      <c r="T39" s="58"/>
    </row>
    <row r="40" spans="3:20" x14ac:dyDescent="0.25">
      <c r="C40" s="64"/>
      <c r="D40" s="64"/>
      <c r="E40" s="64"/>
      <c r="F40" s="64"/>
      <c r="G40" s="64"/>
      <c r="H40" s="64"/>
      <c r="I40" s="64"/>
      <c r="J40" s="64"/>
      <c r="K40" s="58"/>
      <c r="L40" s="58"/>
      <c r="M40" s="58"/>
      <c r="N40" s="58"/>
      <c r="O40" s="60"/>
      <c r="P40" s="58"/>
      <c r="Q40" s="58"/>
      <c r="R40" s="58"/>
      <c r="S40" s="58"/>
      <c r="T40" s="58"/>
    </row>
    <row r="41" spans="3:20" x14ac:dyDescent="0.25">
      <c r="C41" s="64"/>
      <c r="D41" s="64"/>
      <c r="E41" s="64"/>
      <c r="F41" s="64"/>
      <c r="G41" s="64"/>
      <c r="H41" s="64"/>
      <c r="I41" s="64"/>
      <c r="J41" s="64"/>
      <c r="K41" s="58"/>
      <c r="L41" s="58"/>
      <c r="M41" s="58"/>
      <c r="N41" s="58"/>
      <c r="O41" s="60"/>
      <c r="P41" s="58"/>
      <c r="Q41" s="58"/>
      <c r="R41" s="58"/>
      <c r="S41" s="58"/>
      <c r="T41" s="58"/>
    </row>
    <row r="42" spans="3:20" x14ac:dyDescent="0.25">
      <c r="C42" s="64"/>
      <c r="D42" s="64"/>
      <c r="E42" s="64"/>
      <c r="F42" s="64"/>
      <c r="G42" s="64"/>
      <c r="H42" s="64"/>
      <c r="I42" s="64"/>
      <c r="J42" s="64"/>
      <c r="K42" s="58"/>
      <c r="L42" s="58"/>
      <c r="M42" s="58"/>
      <c r="N42" s="58"/>
      <c r="O42" s="60"/>
      <c r="P42" s="58"/>
      <c r="Q42" s="58"/>
      <c r="R42" s="58"/>
      <c r="S42" s="58"/>
      <c r="T42" s="58"/>
    </row>
    <row r="43" spans="3:20" x14ac:dyDescent="0.25">
      <c r="C43" s="64"/>
      <c r="D43" s="64"/>
      <c r="E43" s="64"/>
      <c r="F43" s="64"/>
      <c r="G43" s="64"/>
      <c r="H43" s="64"/>
      <c r="I43" s="64"/>
      <c r="J43" s="64"/>
      <c r="K43" s="58"/>
      <c r="L43" s="58"/>
      <c r="M43" s="58"/>
      <c r="N43" s="58"/>
      <c r="O43" s="60"/>
      <c r="P43" s="58"/>
      <c r="Q43" s="58"/>
      <c r="R43" s="58"/>
      <c r="S43" s="58"/>
      <c r="T43" s="58"/>
    </row>
    <row r="44" spans="3:20" x14ac:dyDescent="0.25"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60"/>
      <c r="P44" s="58"/>
      <c r="Q44" s="58"/>
      <c r="R44" s="58"/>
      <c r="S44" s="58"/>
      <c r="T44" s="58"/>
    </row>
    <row r="45" spans="3:20" x14ac:dyDescent="0.25"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60"/>
      <c r="P45" s="58"/>
      <c r="Q45" s="58"/>
      <c r="R45" s="58"/>
      <c r="S45" s="58"/>
      <c r="T45" s="58"/>
    </row>
    <row r="46" spans="3:20" x14ac:dyDescent="0.25"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60"/>
      <c r="P46" s="58"/>
      <c r="Q46" s="58"/>
      <c r="R46" s="58"/>
      <c r="S46" s="58"/>
      <c r="T46" s="58"/>
    </row>
  </sheetData>
  <mergeCells count="7">
    <mergeCell ref="K37:K38"/>
    <mergeCell ref="C34:D34"/>
    <mergeCell ref="E34:F34"/>
    <mergeCell ref="C33:F33"/>
    <mergeCell ref="G34:H34"/>
    <mergeCell ref="I34:J34"/>
    <mergeCell ref="G33:J33"/>
  </mergeCell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"/>
  <sheetViews>
    <sheetView topLeftCell="C1" zoomScale="90" zoomScaleNormal="90" workbookViewId="0">
      <selection activeCell="Q4" sqref="Q4"/>
    </sheetView>
  </sheetViews>
  <sheetFormatPr defaultRowHeight="15" x14ac:dyDescent="0.25"/>
  <cols>
    <col min="1" max="1" width="13.28515625" bestFit="1" customWidth="1"/>
    <col min="2" max="2" width="9.85546875" hidden="1" customWidth="1"/>
    <col min="3" max="3" width="50.140625" customWidth="1"/>
    <col min="4" max="15" width="12.7109375" customWidth="1"/>
    <col min="16" max="17" width="13.42578125" bestFit="1" customWidth="1"/>
    <col min="19" max="19" width="13.42578125" bestFit="1" customWidth="1"/>
  </cols>
  <sheetData>
    <row r="1" spans="1:19" ht="15.75" thickBot="1" x14ac:dyDescent="0.3"/>
    <row r="2" spans="1:19" ht="15.75" thickBot="1" x14ac:dyDescent="0.3">
      <c r="A2" s="69"/>
      <c r="B2" s="65" t="s">
        <v>62</v>
      </c>
      <c r="C2" s="105" t="s">
        <v>68</v>
      </c>
      <c r="D2" s="106">
        <v>1</v>
      </c>
      <c r="E2" s="106">
        <v>2</v>
      </c>
      <c r="F2" s="106">
        <v>3</v>
      </c>
      <c r="G2" s="106">
        <v>4</v>
      </c>
      <c r="H2" s="106">
        <v>5</v>
      </c>
      <c r="I2" s="106">
        <v>6</v>
      </c>
      <c r="J2" s="106">
        <v>7</v>
      </c>
      <c r="K2" s="106">
        <v>8</v>
      </c>
      <c r="L2" s="106">
        <v>9</v>
      </c>
      <c r="M2" s="106">
        <v>10</v>
      </c>
      <c r="N2" s="106">
        <v>11</v>
      </c>
      <c r="O2" s="106">
        <v>12</v>
      </c>
      <c r="P2" s="110">
        <v>13</v>
      </c>
    </row>
    <row r="3" spans="1:19" ht="15" customHeight="1" x14ac:dyDescent="0.25">
      <c r="A3" s="69"/>
      <c r="B3" s="179"/>
      <c r="C3" s="75" t="s">
        <v>73</v>
      </c>
      <c r="D3" s="141">
        <f>285000/2</f>
        <v>142500</v>
      </c>
      <c r="E3" s="141">
        <f>65000/2</f>
        <v>32500</v>
      </c>
      <c r="F3" s="141">
        <v>120000</v>
      </c>
      <c r="G3" s="141">
        <v>100000</v>
      </c>
      <c r="H3" s="141">
        <f>250000/2</f>
        <v>125000</v>
      </c>
      <c r="I3" s="141">
        <f>280000/2</f>
        <v>140000</v>
      </c>
      <c r="J3" s="141">
        <f>280000/2</f>
        <v>140000</v>
      </c>
      <c r="K3" s="141">
        <f>280000/2</f>
        <v>140000</v>
      </c>
      <c r="L3" s="141">
        <f>275000/2</f>
        <v>137500</v>
      </c>
      <c r="M3" s="141">
        <f>300000/2</f>
        <v>150000</v>
      </c>
      <c r="N3" s="141">
        <f>300000/2</f>
        <v>150000</v>
      </c>
      <c r="O3" s="141">
        <f>300000/2</f>
        <v>150000</v>
      </c>
      <c r="P3" s="177">
        <f>300000/2</f>
        <v>150000</v>
      </c>
    </row>
    <row r="4" spans="1:19" ht="15" customHeight="1" x14ac:dyDescent="0.25">
      <c r="A4" s="69"/>
      <c r="B4" s="180"/>
      <c r="C4" s="109" t="s">
        <v>63</v>
      </c>
      <c r="D4" s="154">
        <v>1</v>
      </c>
      <c r="E4" s="154">
        <v>2</v>
      </c>
      <c r="F4" s="154">
        <v>3</v>
      </c>
      <c r="G4" s="154">
        <v>4</v>
      </c>
      <c r="H4" s="154">
        <v>5</v>
      </c>
      <c r="I4" s="154">
        <v>6</v>
      </c>
      <c r="J4" s="154">
        <v>7</v>
      </c>
      <c r="K4" s="154">
        <v>8</v>
      </c>
      <c r="L4" s="154">
        <v>9</v>
      </c>
      <c r="M4" s="154">
        <v>10</v>
      </c>
      <c r="N4" s="154">
        <v>11</v>
      </c>
      <c r="O4" s="154">
        <v>12</v>
      </c>
      <c r="P4" s="155">
        <v>13</v>
      </c>
    </row>
    <row r="5" spans="1:19" ht="15" customHeight="1" thickBot="1" x14ac:dyDescent="0.3">
      <c r="A5" s="69"/>
      <c r="B5" s="180"/>
      <c r="C5" s="81" t="s">
        <v>17</v>
      </c>
      <c r="D5" s="119">
        <f>IF(D3&lt;(2880000/26),D3*5.6%,(2880000/26)*5.6%)</f>
        <v>6203.076923076922</v>
      </c>
      <c r="E5" s="119">
        <f>IF(E3&lt;(2880000/26),E3*5.6%,(2880000/26)*5.6%)</f>
        <v>1819.9999999999998</v>
      </c>
      <c r="F5" s="119">
        <f t="shared" ref="F5:P5" si="0">IF(F3&lt;(3081600/26),F3*5.6%,(3081600/26)*5.6%)</f>
        <v>6637.2923076923071</v>
      </c>
      <c r="G5" s="119">
        <f t="shared" si="0"/>
        <v>5599.9999999999991</v>
      </c>
      <c r="H5" s="119">
        <f t="shared" si="0"/>
        <v>6637.2923076923071</v>
      </c>
      <c r="I5" s="119">
        <f t="shared" si="0"/>
        <v>6637.2923076923071</v>
      </c>
      <c r="J5" s="119">
        <f t="shared" si="0"/>
        <v>6637.2923076923071</v>
      </c>
      <c r="K5" s="119">
        <f t="shared" si="0"/>
        <v>6637.2923076923071</v>
      </c>
      <c r="L5" s="119">
        <f t="shared" si="0"/>
        <v>6637.2923076923071</v>
      </c>
      <c r="M5" s="119">
        <f t="shared" si="0"/>
        <v>6637.2923076923071</v>
      </c>
      <c r="N5" s="119">
        <f t="shared" si="0"/>
        <v>6637.2923076923071</v>
      </c>
      <c r="O5" s="119">
        <f t="shared" si="0"/>
        <v>6637.2923076923071</v>
      </c>
      <c r="P5" s="119">
        <f t="shared" si="0"/>
        <v>6637.2923076923071</v>
      </c>
    </row>
    <row r="6" spans="1:19" ht="15" hidden="1" customHeight="1" thickBot="1" x14ac:dyDescent="0.3">
      <c r="A6" s="69"/>
      <c r="B6" s="180"/>
      <c r="C6" s="81" t="s">
        <v>55</v>
      </c>
      <c r="D6" s="119">
        <f t="shared" ref="D6:O6" si="1">IF(D3&gt;180000,D3/3,65000)</f>
        <v>65000</v>
      </c>
      <c r="E6" s="119">
        <f t="shared" si="1"/>
        <v>65000</v>
      </c>
      <c r="F6" s="119">
        <f t="shared" si="1"/>
        <v>65000</v>
      </c>
      <c r="G6" s="119">
        <f t="shared" si="1"/>
        <v>65000</v>
      </c>
      <c r="H6" s="119">
        <f t="shared" si="1"/>
        <v>65000</v>
      </c>
      <c r="I6" s="119">
        <f t="shared" si="1"/>
        <v>65000</v>
      </c>
      <c r="J6" s="119">
        <f t="shared" si="1"/>
        <v>65000</v>
      </c>
      <c r="K6" s="119">
        <f t="shared" si="1"/>
        <v>65000</v>
      </c>
      <c r="L6" s="119">
        <f t="shared" si="1"/>
        <v>65000</v>
      </c>
      <c r="M6" s="119">
        <f t="shared" si="1"/>
        <v>65000</v>
      </c>
      <c r="N6" s="119">
        <f t="shared" si="1"/>
        <v>65000</v>
      </c>
      <c r="O6" s="119">
        <f t="shared" si="1"/>
        <v>65000</v>
      </c>
      <c r="P6" s="156"/>
    </row>
    <row r="7" spans="1:19" ht="15" hidden="1" customHeight="1" x14ac:dyDescent="0.25">
      <c r="A7" s="69"/>
      <c r="B7" s="180"/>
      <c r="C7" s="76" t="s">
        <v>56</v>
      </c>
      <c r="D7" s="121">
        <f t="shared" ref="D7:O7" si="2">IF((D3-(D5+D6))&lt;0,0,(D3-(D5+D6)))</f>
        <v>71296.923076923078</v>
      </c>
      <c r="E7" s="121">
        <f t="shared" si="2"/>
        <v>0</v>
      </c>
      <c r="F7" s="121">
        <f t="shared" si="2"/>
        <v>48362.707692307697</v>
      </c>
      <c r="G7" s="121">
        <f t="shared" si="2"/>
        <v>29400</v>
      </c>
      <c r="H7" s="121">
        <f t="shared" si="2"/>
        <v>53362.707692307697</v>
      </c>
      <c r="I7" s="121">
        <f t="shared" si="2"/>
        <v>68362.707692307697</v>
      </c>
      <c r="J7" s="121">
        <f t="shared" si="2"/>
        <v>68362.707692307697</v>
      </c>
      <c r="K7" s="121">
        <f t="shared" si="2"/>
        <v>68362.707692307697</v>
      </c>
      <c r="L7" s="121">
        <f t="shared" si="2"/>
        <v>65862.707692307697</v>
      </c>
      <c r="M7" s="121">
        <f t="shared" si="2"/>
        <v>78362.707692307697</v>
      </c>
      <c r="N7" s="121">
        <f t="shared" si="2"/>
        <v>78362.707692307697</v>
      </c>
      <c r="O7" s="121">
        <f t="shared" si="2"/>
        <v>78362.707692307697</v>
      </c>
      <c r="P7" s="156"/>
    </row>
    <row r="8" spans="1:19" ht="15" hidden="1" customHeight="1" x14ac:dyDescent="0.25">
      <c r="A8" s="69"/>
      <c r="B8" s="180"/>
      <c r="C8" s="76" t="s">
        <v>64</v>
      </c>
      <c r="D8" s="121">
        <f>IF(D7&lt;120000,D7*0.28,120000*0.28)</f>
        <v>19963.138461538463</v>
      </c>
      <c r="E8" s="121">
        <f t="shared" ref="E8" si="3">IF(E7&lt;120000,E7*0.28,120000*0.28)</f>
        <v>0</v>
      </c>
      <c r="F8" s="121">
        <f t="shared" ref="F8" si="4">IF(F7&lt;120000,F7*0.28,120000*0.28)</f>
        <v>13541.558153846156</v>
      </c>
      <c r="G8" s="121">
        <f t="shared" ref="G8" si="5">IF(G7&lt;120000,G7*0.28,120000*0.28)</f>
        <v>8232</v>
      </c>
      <c r="H8" s="121">
        <f t="shared" ref="H8" si="6">IF(H7&lt;120000,H7*0.28,120000*0.28)</f>
        <v>14941.558153846156</v>
      </c>
      <c r="I8" s="121">
        <f t="shared" ref="I8" si="7">IF(I7&lt;120000,I7*0.28,120000*0.28)</f>
        <v>19141.558153846156</v>
      </c>
      <c r="J8" s="121">
        <f t="shared" ref="J8" si="8">IF(J7&lt;120000,J7*0.28,120000*0.28)</f>
        <v>19141.558153846156</v>
      </c>
      <c r="K8" s="121">
        <f t="shared" ref="K8" si="9">IF(K7&lt;120000,K7*0.28,120000*0.28)</f>
        <v>19141.558153846156</v>
      </c>
      <c r="L8" s="121">
        <f t="shared" ref="L8" si="10">IF(L7&lt;120000,L7*0.28,120000*0.28)</f>
        <v>18441.558153846156</v>
      </c>
      <c r="M8" s="121">
        <f t="shared" ref="M8" si="11">IF(M7&lt;120000,M7*0.28,120000*0.28)</f>
        <v>21941.558153846156</v>
      </c>
      <c r="N8" s="121">
        <f t="shared" ref="N8" si="12">IF(N7&lt;120000,N7*0.28,120000*0.28)</f>
        <v>21941.558153846156</v>
      </c>
      <c r="O8" s="121">
        <f t="shared" ref="O8" si="13">IF(O7&lt;120000,O7*0.28,120000*0.28)</f>
        <v>21941.558153846156</v>
      </c>
      <c r="P8" s="156"/>
    </row>
    <row r="9" spans="1:19" ht="15" hidden="1" customHeight="1" x14ac:dyDescent="0.25">
      <c r="A9" s="69"/>
      <c r="B9" s="180"/>
      <c r="C9" s="76" t="s">
        <v>65</v>
      </c>
      <c r="D9" s="121">
        <f>IF(D7-120000&gt;0,(D7-120000)*40%,0)</f>
        <v>0</v>
      </c>
      <c r="E9" s="121">
        <f t="shared" ref="E9:O9" si="14">IF(E7-120000&gt;0,(E7-120000)*40%,0)</f>
        <v>0</v>
      </c>
      <c r="F9" s="121">
        <f t="shared" si="14"/>
        <v>0</v>
      </c>
      <c r="G9" s="121">
        <f t="shared" si="14"/>
        <v>0</v>
      </c>
      <c r="H9" s="121">
        <f t="shared" si="14"/>
        <v>0</v>
      </c>
      <c r="I9" s="121">
        <f t="shared" si="14"/>
        <v>0</v>
      </c>
      <c r="J9" s="121">
        <f t="shared" si="14"/>
        <v>0</v>
      </c>
      <c r="K9" s="121">
        <f t="shared" si="14"/>
        <v>0</v>
      </c>
      <c r="L9" s="121">
        <f t="shared" si="14"/>
        <v>0</v>
      </c>
      <c r="M9" s="121">
        <f t="shared" si="14"/>
        <v>0</v>
      </c>
      <c r="N9" s="121">
        <f t="shared" si="14"/>
        <v>0</v>
      </c>
      <c r="O9" s="121">
        <f t="shared" si="14"/>
        <v>0</v>
      </c>
      <c r="P9" s="156"/>
    </row>
    <row r="10" spans="1:19" ht="15" hidden="1" customHeight="1" x14ac:dyDescent="0.25">
      <c r="A10" s="69"/>
      <c r="B10" s="180"/>
      <c r="C10" s="77" t="s">
        <v>19</v>
      </c>
      <c r="D10" s="123">
        <f t="shared" ref="D10:O10" si="15">D8+D9</f>
        <v>19963.138461538463</v>
      </c>
      <c r="E10" s="123">
        <f t="shared" si="15"/>
        <v>0</v>
      </c>
      <c r="F10" s="123">
        <f t="shared" si="15"/>
        <v>13541.558153846156</v>
      </c>
      <c r="G10" s="123">
        <f t="shared" si="15"/>
        <v>8232</v>
      </c>
      <c r="H10" s="123">
        <f t="shared" si="15"/>
        <v>14941.558153846156</v>
      </c>
      <c r="I10" s="123">
        <f t="shared" si="15"/>
        <v>19141.558153846156</v>
      </c>
      <c r="J10" s="123">
        <f t="shared" si="15"/>
        <v>19141.558153846156</v>
      </c>
      <c r="K10" s="123">
        <f t="shared" si="15"/>
        <v>19141.558153846156</v>
      </c>
      <c r="L10" s="123">
        <f t="shared" si="15"/>
        <v>18441.558153846156</v>
      </c>
      <c r="M10" s="123">
        <f t="shared" si="15"/>
        <v>21941.558153846156</v>
      </c>
      <c r="N10" s="123">
        <f t="shared" si="15"/>
        <v>21941.558153846156</v>
      </c>
      <c r="O10" s="123">
        <f t="shared" si="15"/>
        <v>21941.558153846156</v>
      </c>
      <c r="P10" s="156"/>
    </row>
    <row r="11" spans="1:19" ht="15" hidden="1" customHeight="1" x14ac:dyDescent="0.25">
      <c r="A11" s="69"/>
      <c r="B11" s="180"/>
      <c r="C11" s="76" t="s">
        <v>61</v>
      </c>
      <c r="D11" s="125">
        <f>D10</f>
        <v>19963.138461538463</v>
      </c>
      <c r="E11" s="125">
        <f>D11+E10</f>
        <v>19963.138461538463</v>
      </c>
      <c r="F11" s="125">
        <f t="shared" ref="F11" si="16">E11+F10</f>
        <v>33504.696615384615</v>
      </c>
      <c r="G11" s="125">
        <f t="shared" ref="G11" si="17">F11+G10</f>
        <v>41736.696615384615</v>
      </c>
      <c r="H11" s="125">
        <f t="shared" ref="H11" si="18">G11+H10</f>
        <v>56678.254769230771</v>
      </c>
      <c r="I11" s="125">
        <f t="shared" ref="I11" si="19">H11+I10</f>
        <v>75819.812923076926</v>
      </c>
      <c r="J11" s="125">
        <f t="shared" ref="J11" si="20">I11+J10</f>
        <v>94961.371076923082</v>
      </c>
      <c r="K11" s="125">
        <f t="shared" ref="K11" si="21">J11+K10</f>
        <v>114102.92923076924</v>
      </c>
      <c r="L11" s="125">
        <f t="shared" ref="L11" si="22">K11+L10</f>
        <v>132544.48738461541</v>
      </c>
      <c r="M11" s="125">
        <f t="shared" ref="M11" si="23">L11+M10</f>
        <v>154486.04553846156</v>
      </c>
      <c r="N11" s="125">
        <f t="shared" ref="N11" si="24">M11+N10</f>
        <v>176427.60369230772</v>
      </c>
      <c r="O11" s="157">
        <f t="shared" ref="O11" si="25">N11+O10</f>
        <v>198369.16184615387</v>
      </c>
      <c r="P11" s="156"/>
    </row>
    <row r="12" spans="1:19" ht="15" customHeight="1" thickBot="1" x14ac:dyDescent="0.3">
      <c r="A12" s="69"/>
      <c r="B12" s="180"/>
      <c r="C12" s="78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58"/>
    </row>
    <row r="13" spans="1:19" ht="15" customHeight="1" x14ac:dyDescent="0.25">
      <c r="A13" s="72"/>
      <c r="B13" s="180"/>
      <c r="C13" s="108" t="s">
        <v>66</v>
      </c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60"/>
    </row>
    <row r="14" spans="1:19" x14ac:dyDescent="0.25">
      <c r="A14" s="70"/>
      <c r="B14" s="180"/>
      <c r="C14" s="76" t="s">
        <v>57</v>
      </c>
      <c r="D14" s="131">
        <f>D3</f>
        <v>142500</v>
      </c>
      <c r="E14" s="131">
        <f t="shared" ref="E14:P14" si="26">D14+E3</f>
        <v>175000</v>
      </c>
      <c r="F14" s="131">
        <f t="shared" si="26"/>
        <v>295000</v>
      </c>
      <c r="G14" s="131">
        <f t="shared" si="26"/>
        <v>395000</v>
      </c>
      <c r="H14" s="131">
        <f t="shared" si="26"/>
        <v>520000</v>
      </c>
      <c r="I14" s="131">
        <f t="shared" si="26"/>
        <v>660000</v>
      </c>
      <c r="J14" s="131">
        <f t="shared" si="26"/>
        <v>800000</v>
      </c>
      <c r="K14" s="131">
        <f t="shared" si="26"/>
        <v>940000</v>
      </c>
      <c r="L14" s="131">
        <f t="shared" si="26"/>
        <v>1077500</v>
      </c>
      <c r="M14" s="131">
        <f>L14+M3</f>
        <v>1227500</v>
      </c>
      <c r="N14" s="131">
        <f t="shared" si="26"/>
        <v>1377500</v>
      </c>
      <c r="O14" s="121">
        <f t="shared" si="26"/>
        <v>1527500</v>
      </c>
      <c r="P14" s="161">
        <f t="shared" si="26"/>
        <v>1677500</v>
      </c>
      <c r="Q14" s="7"/>
    </row>
    <row r="15" spans="1:19" x14ac:dyDescent="0.25">
      <c r="A15" s="71"/>
      <c r="B15" s="180"/>
      <c r="C15" s="76" t="s">
        <v>58</v>
      </c>
      <c r="D15" s="131">
        <f>D5</f>
        <v>6203.076923076922</v>
      </c>
      <c r="E15" s="131">
        <f t="shared" ref="E15:P15" si="27">D15+E5</f>
        <v>8023.076923076922</v>
      </c>
      <c r="F15" s="131">
        <f t="shared" si="27"/>
        <v>14660.369230769229</v>
      </c>
      <c r="G15" s="131">
        <f t="shared" si="27"/>
        <v>20260.369230769229</v>
      </c>
      <c r="H15" s="131">
        <f t="shared" si="27"/>
        <v>26897.661538461536</v>
      </c>
      <c r="I15" s="131">
        <f t="shared" si="27"/>
        <v>33534.953846153847</v>
      </c>
      <c r="J15" s="131">
        <f t="shared" si="27"/>
        <v>40172.24615384615</v>
      </c>
      <c r="K15" s="131">
        <f t="shared" si="27"/>
        <v>46809.538461538454</v>
      </c>
      <c r="L15" s="131">
        <f t="shared" si="27"/>
        <v>53446.830769230757</v>
      </c>
      <c r="M15" s="131">
        <f t="shared" si="27"/>
        <v>60084.123076923061</v>
      </c>
      <c r="N15" s="131">
        <f t="shared" si="27"/>
        <v>66721.415384615364</v>
      </c>
      <c r="O15" s="121">
        <f t="shared" si="27"/>
        <v>73358.707692307667</v>
      </c>
      <c r="P15" s="161">
        <f t="shared" si="27"/>
        <v>79995.999999999971</v>
      </c>
      <c r="Q15" s="7"/>
    </row>
    <row r="16" spans="1:19" x14ac:dyDescent="0.25">
      <c r="A16" s="26"/>
      <c r="B16" s="180"/>
      <c r="C16" s="104" t="s">
        <v>74</v>
      </c>
      <c r="D16" s="131">
        <f>IF(D14&gt;(780000/26),D14/3,(780000/26)*D4)</f>
        <v>47500</v>
      </c>
      <c r="E16" s="131">
        <f>IF(E14&gt;(780000/26),E14/3,(780000/26)*E4)</f>
        <v>58333.333333333336</v>
      </c>
      <c r="F16" s="131">
        <f t="shared" ref="F16:P16" si="28">IF(F14&gt;(780000/26),F14/3,(780000/26)*F4)</f>
        <v>98333.333333333328</v>
      </c>
      <c r="G16" s="131">
        <f>IF(G14&gt;(780000/26),G14/3,(780000/26)*G4)</f>
        <v>131666.66666666666</v>
      </c>
      <c r="H16" s="131">
        <f t="shared" si="28"/>
        <v>173333.33333333334</v>
      </c>
      <c r="I16" s="131">
        <f t="shared" si="28"/>
        <v>220000</v>
      </c>
      <c r="J16" s="131">
        <f t="shared" si="28"/>
        <v>266666.66666666669</v>
      </c>
      <c r="K16" s="131">
        <f t="shared" si="28"/>
        <v>313333.33333333331</v>
      </c>
      <c r="L16" s="131">
        <f t="shared" si="28"/>
        <v>359166.66666666669</v>
      </c>
      <c r="M16" s="131">
        <f>IF(M14&gt;(780000/26),M14/3,(780000/26)*M4)</f>
        <v>409166.66666666669</v>
      </c>
      <c r="N16" s="131">
        <f t="shared" si="28"/>
        <v>459166.66666666669</v>
      </c>
      <c r="O16" s="131">
        <f t="shared" si="28"/>
        <v>509166.66666666669</v>
      </c>
      <c r="P16" s="132">
        <f t="shared" si="28"/>
        <v>559166.66666666663</v>
      </c>
      <c r="S16" s="7"/>
    </row>
    <row r="17" spans="1:17" x14ac:dyDescent="0.25">
      <c r="A17" s="26"/>
      <c r="B17" s="180"/>
      <c r="C17" s="76" t="s">
        <v>56</v>
      </c>
      <c r="D17" s="131">
        <f>IF((D14-(D15+D16))&lt;0,0,(D14-(D15+D16)))</f>
        <v>88796.923076923078</v>
      </c>
      <c r="E17" s="131">
        <f>IF((E14-(E15+E16))&lt;0,0,(E14-(E15+E16)))</f>
        <v>108643.58974358975</v>
      </c>
      <c r="F17" s="131">
        <f>IF((F14-(F15+F16))&lt;0,0,(F14-(F15+F16)))</f>
        <v>182006.29743589746</v>
      </c>
      <c r="G17" s="131">
        <f t="shared" ref="G17:P17" si="29">IF((G14-(G15+G16))&lt;0,0,(G14-(G15+G16)))</f>
        <v>243072.96410256412</v>
      </c>
      <c r="H17" s="131">
        <f t="shared" si="29"/>
        <v>319769.00512820511</v>
      </c>
      <c r="I17" s="131">
        <f t="shared" si="29"/>
        <v>406465.04615384614</v>
      </c>
      <c r="J17" s="131">
        <f t="shared" si="29"/>
        <v>493161.08717948716</v>
      </c>
      <c r="K17" s="131">
        <f t="shared" si="29"/>
        <v>579857.12820512825</v>
      </c>
      <c r="L17" s="131">
        <f t="shared" si="29"/>
        <v>664886.50256410253</v>
      </c>
      <c r="M17" s="131">
        <f t="shared" si="29"/>
        <v>758249.2102564103</v>
      </c>
      <c r="N17" s="131">
        <f t="shared" si="29"/>
        <v>851611.91794871795</v>
      </c>
      <c r="O17" s="121">
        <f t="shared" si="29"/>
        <v>944974.6256410256</v>
      </c>
      <c r="P17" s="161">
        <f t="shared" si="29"/>
        <v>1038337.3333333334</v>
      </c>
      <c r="Q17" s="7"/>
    </row>
    <row r="18" spans="1:17" x14ac:dyDescent="0.25">
      <c r="A18" s="26"/>
      <c r="B18" s="180"/>
      <c r="C18" s="76" t="s">
        <v>59</v>
      </c>
      <c r="D18" s="162">
        <f>IF(D17&lt;=((1560000/26)* D4),D17*0.28,((1560000/26)*D4*0.28))</f>
        <v>16800</v>
      </c>
      <c r="E18" s="162">
        <f t="shared" ref="E18:P18" si="30">IF(E17&lt;=((1560000/26)* E4),E17*0.28,((1560000/26)*E4*0.28))</f>
        <v>30420.205128205132</v>
      </c>
      <c r="F18" s="162">
        <f t="shared" si="30"/>
        <v>50400.000000000007</v>
      </c>
      <c r="G18" s="162">
        <f t="shared" si="30"/>
        <v>67200</v>
      </c>
      <c r="H18" s="162">
        <f t="shared" si="30"/>
        <v>84000.000000000015</v>
      </c>
      <c r="I18" s="162">
        <f t="shared" si="30"/>
        <v>100800.00000000001</v>
      </c>
      <c r="J18" s="162">
        <f t="shared" si="30"/>
        <v>117600.00000000001</v>
      </c>
      <c r="K18" s="162">
        <f t="shared" si="30"/>
        <v>134400</v>
      </c>
      <c r="L18" s="162">
        <f t="shared" si="30"/>
        <v>151200</v>
      </c>
      <c r="M18" s="162">
        <f t="shared" si="30"/>
        <v>168000.00000000003</v>
      </c>
      <c r="N18" s="162">
        <f t="shared" si="30"/>
        <v>184800.00000000003</v>
      </c>
      <c r="O18" s="162">
        <f t="shared" si="30"/>
        <v>201600.00000000003</v>
      </c>
      <c r="P18" s="163">
        <f t="shared" si="30"/>
        <v>218400.00000000003</v>
      </c>
      <c r="Q18" s="7"/>
    </row>
    <row r="19" spans="1:17" x14ac:dyDescent="0.25">
      <c r="A19" s="26"/>
      <c r="B19" s="180"/>
      <c r="C19" s="85" t="s">
        <v>60</v>
      </c>
      <c r="D19" s="164">
        <f>IF((D17-(1560000/26)*D4)&gt;0,(D17-((1560000/26)*D4))*0.4,0)</f>
        <v>11518.769230769232</v>
      </c>
      <c r="E19" s="165">
        <f t="shared" ref="E19:P19" si="31">IF((E17-(1560000/26)*E4)&gt;0,(E17-((1560000/26)*E4))*0.4,0)</f>
        <v>0</v>
      </c>
      <c r="F19" s="165">
        <f t="shared" si="31"/>
        <v>802.51897435898434</v>
      </c>
      <c r="G19" s="165">
        <f>IF((G17-(1560000/26)*G4)&gt;0,(G17-((1560000/26)*G4))*0.4,0)</f>
        <v>1229.1856410256471</v>
      </c>
      <c r="H19" s="165">
        <f t="shared" si="31"/>
        <v>7907.602051282046</v>
      </c>
      <c r="I19" s="165">
        <f t="shared" si="31"/>
        <v>18586.018461538457</v>
      </c>
      <c r="J19" s="165">
        <f t="shared" si="31"/>
        <v>29264.434871794867</v>
      </c>
      <c r="K19" s="165">
        <f t="shared" si="31"/>
        <v>39942.851282051299</v>
      </c>
      <c r="L19" s="165">
        <f t="shared" si="31"/>
        <v>49954.601025641015</v>
      </c>
      <c r="M19" s="165">
        <f t="shared" si="31"/>
        <v>63299.684102564119</v>
      </c>
      <c r="N19" s="165">
        <f t="shared" si="31"/>
        <v>76644.767179487186</v>
      </c>
      <c r="O19" s="165">
        <f t="shared" si="31"/>
        <v>89989.850256410253</v>
      </c>
      <c r="P19" s="166">
        <f t="shared" si="31"/>
        <v>103334.93333333335</v>
      </c>
      <c r="Q19" s="7"/>
    </row>
    <row r="20" spans="1:17" x14ac:dyDescent="0.25">
      <c r="A20" s="26"/>
      <c r="B20" s="180"/>
      <c r="C20" s="88" t="s">
        <v>67</v>
      </c>
      <c r="D20" s="167">
        <f>D18+D19</f>
        <v>28318.769230769234</v>
      </c>
      <c r="E20" s="167">
        <f>E18+E19</f>
        <v>30420.205128205132</v>
      </c>
      <c r="F20" s="167">
        <f t="shared" ref="F20:O20" si="32">F18+F19</f>
        <v>51202.518974358994</v>
      </c>
      <c r="G20" s="167">
        <f t="shared" si="32"/>
        <v>68429.185641025644</v>
      </c>
      <c r="H20" s="167">
        <f t="shared" si="32"/>
        <v>91907.602051282054</v>
      </c>
      <c r="I20" s="167">
        <f>I18+I19</f>
        <v>119386.01846153848</v>
      </c>
      <c r="J20" s="167">
        <f t="shared" si="32"/>
        <v>146864.43487179489</v>
      </c>
      <c r="K20" s="167">
        <f t="shared" si="32"/>
        <v>174342.8512820513</v>
      </c>
      <c r="L20" s="167">
        <f t="shared" si="32"/>
        <v>201154.60102564102</v>
      </c>
      <c r="M20" s="167">
        <f t="shared" si="32"/>
        <v>231299.68410256415</v>
      </c>
      <c r="N20" s="167">
        <f t="shared" si="32"/>
        <v>261444.76717948721</v>
      </c>
      <c r="O20" s="168">
        <f t="shared" si="32"/>
        <v>291589.85025641031</v>
      </c>
      <c r="P20" s="169">
        <f>P18+P19</f>
        <v>321734.93333333335</v>
      </c>
      <c r="Q20" s="26"/>
    </row>
    <row r="21" spans="1:17" x14ac:dyDescent="0.25">
      <c r="A21" s="7"/>
      <c r="B21" s="180"/>
      <c r="C21" s="90" t="s">
        <v>71</v>
      </c>
      <c r="D21" s="137">
        <v>0</v>
      </c>
      <c r="E21" s="137">
        <f>D23</f>
        <v>28318.769230769234</v>
      </c>
      <c r="F21" s="137">
        <f>E23</f>
        <v>30420.205128205132</v>
      </c>
      <c r="G21" s="137">
        <f t="shared" ref="G21:P21" si="33">F23</f>
        <v>51202.518974358994</v>
      </c>
      <c r="H21" s="137">
        <f t="shared" si="33"/>
        <v>68429.185641025644</v>
      </c>
      <c r="I21" s="137">
        <f t="shared" si="33"/>
        <v>91907.602051282054</v>
      </c>
      <c r="J21" s="137">
        <f t="shared" si="33"/>
        <v>119386.01846153848</v>
      </c>
      <c r="K21" s="137">
        <f t="shared" si="33"/>
        <v>146864.43487179489</v>
      </c>
      <c r="L21" s="137">
        <f t="shared" si="33"/>
        <v>174342.8512820513</v>
      </c>
      <c r="M21" s="137">
        <f t="shared" si="33"/>
        <v>201154.60102564102</v>
      </c>
      <c r="N21" s="137">
        <f t="shared" si="33"/>
        <v>231299.68410256415</v>
      </c>
      <c r="O21" s="170">
        <f t="shared" si="33"/>
        <v>261444.76717948721</v>
      </c>
      <c r="P21" s="171">
        <f t="shared" si="33"/>
        <v>291589.85025641031</v>
      </c>
    </row>
    <row r="22" spans="1:17" ht="15.75" thickBot="1" x14ac:dyDescent="0.3">
      <c r="A22" s="26"/>
      <c r="B22" s="180"/>
      <c r="C22" s="92" t="s">
        <v>70</v>
      </c>
      <c r="D22" s="172">
        <f>D20-D21</f>
        <v>28318.769230769234</v>
      </c>
      <c r="E22" s="172">
        <f>E20-E21</f>
        <v>2101.4358974358984</v>
      </c>
      <c r="F22" s="172">
        <f t="shared" ref="F22:P22" si="34">F20-F21</f>
        <v>20782.313846153862</v>
      </c>
      <c r="G22" s="172">
        <f t="shared" si="34"/>
        <v>17226.66666666665</v>
      </c>
      <c r="H22" s="172">
        <f t="shared" si="34"/>
        <v>23478.41641025641</v>
      </c>
      <c r="I22" s="172">
        <f t="shared" si="34"/>
        <v>27478.416410256425</v>
      </c>
      <c r="J22" s="172">
        <f t="shared" si="34"/>
        <v>27478.41641025641</v>
      </c>
      <c r="K22" s="172">
        <f t="shared" si="34"/>
        <v>27478.41641025641</v>
      </c>
      <c r="L22" s="172">
        <f t="shared" si="34"/>
        <v>26811.749743589724</v>
      </c>
      <c r="M22" s="172">
        <f t="shared" si="34"/>
        <v>30145.083076923125</v>
      </c>
      <c r="N22" s="172">
        <f t="shared" si="34"/>
        <v>30145.083076923067</v>
      </c>
      <c r="O22" s="173">
        <f t="shared" si="34"/>
        <v>30145.083076923096</v>
      </c>
      <c r="P22" s="174">
        <f t="shared" si="34"/>
        <v>30145.083076923038</v>
      </c>
    </row>
    <row r="23" spans="1:17" ht="15.75" hidden="1" thickBot="1" x14ac:dyDescent="0.3">
      <c r="A23" s="7"/>
      <c r="B23" s="181"/>
      <c r="C23" s="79" t="s">
        <v>61</v>
      </c>
      <c r="D23" s="73">
        <f>D22</f>
        <v>28318.769230769234</v>
      </c>
      <c r="E23" s="73">
        <f>E22+E21</f>
        <v>30420.205128205132</v>
      </c>
      <c r="F23" s="73">
        <f t="shared" ref="F23:O23" si="35">F22+F21</f>
        <v>51202.518974358994</v>
      </c>
      <c r="G23" s="73">
        <f t="shared" si="35"/>
        <v>68429.185641025644</v>
      </c>
      <c r="H23" s="73">
        <f t="shared" si="35"/>
        <v>91907.602051282054</v>
      </c>
      <c r="I23" s="73">
        <f t="shared" si="35"/>
        <v>119386.01846153848</v>
      </c>
      <c r="J23" s="73">
        <f t="shared" si="35"/>
        <v>146864.43487179489</v>
      </c>
      <c r="K23" s="73">
        <f t="shared" si="35"/>
        <v>174342.8512820513</v>
      </c>
      <c r="L23" s="73">
        <f t="shared" si="35"/>
        <v>201154.60102564102</v>
      </c>
      <c r="M23" s="73">
        <f t="shared" si="35"/>
        <v>231299.68410256415</v>
      </c>
      <c r="N23" s="73">
        <f t="shared" si="35"/>
        <v>261444.76717948721</v>
      </c>
      <c r="O23" s="80">
        <f t="shared" si="35"/>
        <v>291589.85025641031</v>
      </c>
      <c r="P23" s="26"/>
      <c r="Q23" s="67"/>
    </row>
    <row r="25" spans="1:17" ht="15.75" thickBot="1" x14ac:dyDescent="0.3"/>
    <row r="26" spans="1:17" ht="15.75" thickBot="1" x14ac:dyDescent="0.3">
      <c r="C26" s="105" t="s">
        <v>68</v>
      </c>
      <c r="D26" s="106">
        <v>14</v>
      </c>
      <c r="E26" s="106">
        <v>15</v>
      </c>
      <c r="F26" s="106">
        <v>16</v>
      </c>
      <c r="G26" s="106">
        <v>17</v>
      </c>
      <c r="H26" s="106">
        <v>18</v>
      </c>
      <c r="I26" s="106">
        <v>19</v>
      </c>
      <c r="J26" s="106">
        <v>20</v>
      </c>
      <c r="K26" s="106">
        <v>21</v>
      </c>
      <c r="L26" s="106">
        <v>22</v>
      </c>
      <c r="M26" s="106">
        <v>23</v>
      </c>
      <c r="N26" s="106">
        <v>24</v>
      </c>
      <c r="O26" s="106">
        <v>25</v>
      </c>
      <c r="P26" s="110">
        <v>26</v>
      </c>
    </row>
    <row r="27" spans="1:17" x14ac:dyDescent="0.25">
      <c r="C27" s="75" t="s">
        <v>73</v>
      </c>
      <c r="D27" s="141">
        <f>285000/2</f>
        <v>142500</v>
      </c>
      <c r="E27" s="141">
        <v>54000</v>
      </c>
      <c r="F27" s="141">
        <v>120000</v>
      </c>
      <c r="G27" s="141">
        <v>95000</v>
      </c>
      <c r="H27" s="141">
        <f>250000/2</f>
        <v>125000</v>
      </c>
      <c r="I27" s="141">
        <f>280000/2</f>
        <v>140000</v>
      </c>
      <c r="J27" s="141">
        <f>280000/2</f>
        <v>140000</v>
      </c>
      <c r="K27" s="141">
        <f>280000/2</f>
        <v>140000</v>
      </c>
      <c r="L27" s="141">
        <v>142500</v>
      </c>
      <c r="M27" s="141">
        <v>165000</v>
      </c>
      <c r="N27" s="141">
        <f>300000/2</f>
        <v>150000</v>
      </c>
      <c r="O27" s="141">
        <f>300000/2</f>
        <v>150000</v>
      </c>
      <c r="P27" s="178">
        <f>300000/2</f>
        <v>150000</v>
      </c>
    </row>
    <row r="28" spans="1:17" x14ac:dyDescent="0.25">
      <c r="C28" s="109" t="s">
        <v>63</v>
      </c>
      <c r="D28" s="154">
        <v>14</v>
      </c>
      <c r="E28" s="154">
        <v>15</v>
      </c>
      <c r="F28" s="154">
        <v>16</v>
      </c>
      <c r="G28" s="154">
        <v>17</v>
      </c>
      <c r="H28" s="154">
        <v>18</v>
      </c>
      <c r="I28" s="154">
        <v>19</v>
      </c>
      <c r="J28" s="154">
        <v>20</v>
      </c>
      <c r="K28" s="154">
        <v>21</v>
      </c>
      <c r="L28" s="154">
        <v>22</v>
      </c>
      <c r="M28" s="154">
        <v>23</v>
      </c>
      <c r="N28" s="154">
        <v>24</v>
      </c>
      <c r="O28" s="154">
        <v>25</v>
      </c>
      <c r="P28" s="175">
        <v>26</v>
      </c>
    </row>
    <row r="29" spans="1:17" ht="15.75" thickBot="1" x14ac:dyDescent="0.3">
      <c r="C29" s="81" t="s">
        <v>17</v>
      </c>
      <c r="D29" s="119">
        <f>IF(D27&lt;(3081600/26),D27*5.6%,(3081600/26)*5.6%)</f>
        <v>6637.2923076923071</v>
      </c>
      <c r="E29" s="119">
        <f t="shared" ref="E29:P29" si="36">IF(E27&lt;(3081600/26),E27*5.6%,(3081600/26)*5.6%)</f>
        <v>3023.9999999999995</v>
      </c>
      <c r="F29" s="119">
        <f t="shared" si="36"/>
        <v>6637.2923076923071</v>
      </c>
      <c r="G29" s="119">
        <f t="shared" si="36"/>
        <v>5319.9999999999991</v>
      </c>
      <c r="H29" s="119">
        <f t="shared" si="36"/>
        <v>6637.2923076923071</v>
      </c>
      <c r="I29" s="119">
        <f t="shared" si="36"/>
        <v>6637.2923076923071</v>
      </c>
      <c r="J29" s="119">
        <f t="shared" si="36"/>
        <v>6637.2923076923071</v>
      </c>
      <c r="K29" s="119">
        <f t="shared" si="36"/>
        <v>6637.2923076923071</v>
      </c>
      <c r="L29" s="119">
        <f t="shared" si="36"/>
        <v>6637.2923076923071</v>
      </c>
      <c r="M29" s="119">
        <f t="shared" si="36"/>
        <v>6637.2923076923071</v>
      </c>
      <c r="N29" s="119">
        <f t="shared" si="36"/>
        <v>6637.2923076923071</v>
      </c>
      <c r="O29" s="119">
        <f t="shared" si="36"/>
        <v>6637.2923076923071</v>
      </c>
      <c r="P29" s="119">
        <f t="shared" si="36"/>
        <v>6637.2923076923071</v>
      </c>
    </row>
    <row r="30" spans="1:17" ht="15.75" hidden="1" thickBot="1" x14ac:dyDescent="0.3">
      <c r="C30" s="81" t="s">
        <v>55</v>
      </c>
      <c r="D30" s="119">
        <f t="shared" ref="D30:O30" si="37">IF(D27&gt;180000,D27/3,65000)</f>
        <v>65000</v>
      </c>
      <c r="E30" s="119">
        <f t="shared" si="37"/>
        <v>65000</v>
      </c>
      <c r="F30" s="119">
        <f t="shared" si="37"/>
        <v>65000</v>
      </c>
      <c r="G30" s="119">
        <f t="shared" si="37"/>
        <v>65000</v>
      </c>
      <c r="H30" s="119">
        <f t="shared" si="37"/>
        <v>65000</v>
      </c>
      <c r="I30" s="119">
        <f t="shared" si="37"/>
        <v>65000</v>
      </c>
      <c r="J30" s="119">
        <f t="shared" si="37"/>
        <v>65000</v>
      </c>
      <c r="K30" s="119">
        <f t="shared" si="37"/>
        <v>65000</v>
      </c>
      <c r="L30" s="119">
        <f t="shared" si="37"/>
        <v>65000</v>
      </c>
      <c r="M30" s="119">
        <f t="shared" si="37"/>
        <v>65000</v>
      </c>
      <c r="N30" s="119">
        <f t="shared" si="37"/>
        <v>65000</v>
      </c>
      <c r="O30" s="119">
        <f t="shared" si="37"/>
        <v>65000</v>
      </c>
      <c r="P30" s="176"/>
    </row>
    <row r="31" spans="1:17" ht="15.75" hidden="1" thickBot="1" x14ac:dyDescent="0.3">
      <c r="C31" s="76" t="s">
        <v>56</v>
      </c>
      <c r="D31" s="121">
        <f t="shared" ref="D31:O31" si="38">IF((D27-(D29+D30))&lt;0,0,(D27-(D29+D30)))</f>
        <v>70862.707692307697</v>
      </c>
      <c r="E31" s="121">
        <f t="shared" si="38"/>
        <v>0</v>
      </c>
      <c r="F31" s="121">
        <f t="shared" si="38"/>
        <v>48362.707692307697</v>
      </c>
      <c r="G31" s="121">
        <f t="shared" si="38"/>
        <v>24680</v>
      </c>
      <c r="H31" s="121">
        <f t="shared" si="38"/>
        <v>53362.707692307697</v>
      </c>
      <c r="I31" s="121">
        <f t="shared" si="38"/>
        <v>68362.707692307697</v>
      </c>
      <c r="J31" s="121">
        <f t="shared" si="38"/>
        <v>68362.707692307697</v>
      </c>
      <c r="K31" s="121">
        <f t="shared" si="38"/>
        <v>68362.707692307697</v>
      </c>
      <c r="L31" s="121">
        <f t="shared" si="38"/>
        <v>70862.707692307697</v>
      </c>
      <c r="M31" s="121">
        <f t="shared" si="38"/>
        <v>93362.707692307697</v>
      </c>
      <c r="N31" s="121">
        <f t="shared" si="38"/>
        <v>78362.707692307697</v>
      </c>
      <c r="O31" s="121">
        <f t="shared" si="38"/>
        <v>78362.707692307697</v>
      </c>
      <c r="P31" s="156"/>
    </row>
    <row r="32" spans="1:17" ht="15.75" hidden="1" thickBot="1" x14ac:dyDescent="0.3">
      <c r="C32" s="76" t="s">
        <v>64</v>
      </c>
      <c r="D32" s="121">
        <f>IF(D31&lt;120000,D31*0.28,120000*0.28)</f>
        <v>19841.558153846156</v>
      </c>
      <c r="E32" s="121">
        <f t="shared" ref="E32:O32" si="39">IF(E31&lt;120000,E31*0.28,120000*0.28)</f>
        <v>0</v>
      </c>
      <c r="F32" s="121">
        <f t="shared" si="39"/>
        <v>13541.558153846156</v>
      </c>
      <c r="G32" s="121">
        <f t="shared" si="39"/>
        <v>6910.4000000000005</v>
      </c>
      <c r="H32" s="121">
        <f t="shared" si="39"/>
        <v>14941.558153846156</v>
      </c>
      <c r="I32" s="121">
        <f t="shared" si="39"/>
        <v>19141.558153846156</v>
      </c>
      <c r="J32" s="121">
        <f t="shared" si="39"/>
        <v>19141.558153846156</v>
      </c>
      <c r="K32" s="121">
        <f t="shared" si="39"/>
        <v>19141.558153846156</v>
      </c>
      <c r="L32" s="121">
        <f t="shared" si="39"/>
        <v>19841.558153846156</v>
      </c>
      <c r="M32" s="121">
        <f t="shared" si="39"/>
        <v>26141.558153846159</v>
      </c>
      <c r="N32" s="121">
        <f t="shared" si="39"/>
        <v>21941.558153846156</v>
      </c>
      <c r="O32" s="121">
        <f t="shared" si="39"/>
        <v>21941.558153846156</v>
      </c>
      <c r="P32" s="156"/>
    </row>
    <row r="33" spans="3:16" ht="15.75" hidden="1" thickBot="1" x14ac:dyDescent="0.3">
      <c r="C33" s="76" t="s">
        <v>65</v>
      </c>
      <c r="D33" s="121">
        <f>IF(D31-120000&gt;0,(D31-120000)*40%,0)</f>
        <v>0</v>
      </c>
      <c r="E33" s="121">
        <f t="shared" ref="E33:O33" si="40">IF(E31-120000&gt;0,(E31-120000)*40%,0)</f>
        <v>0</v>
      </c>
      <c r="F33" s="121">
        <f t="shared" si="40"/>
        <v>0</v>
      </c>
      <c r="G33" s="121">
        <f t="shared" si="40"/>
        <v>0</v>
      </c>
      <c r="H33" s="121">
        <f t="shared" si="40"/>
        <v>0</v>
      </c>
      <c r="I33" s="121">
        <f t="shared" si="40"/>
        <v>0</v>
      </c>
      <c r="J33" s="121">
        <f t="shared" si="40"/>
        <v>0</v>
      </c>
      <c r="K33" s="121">
        <f t="shared" si="40"/>
        <v>0</v>
      </c>
      <c r="L33" s="121">
        <f t="shared" si="40"/>
        <v>0</v>
      </c>
      <c r="M33" s="121">
        <f t="shared" si="40"/>
        <v>0</v>
      </c>
      <c r="N33" s="121">
        <f t="shared" si="40"/>
        <v>0</v>
      </c>
      <c r="O33" s="121">
        <f t="shared" si="40"/>
        <v>0</v>
      </c>
      <c r="P33" s="156"/>
    </row>
    <row r="34" spans="3:16" ht="15.75" hidden="1" thickBot="1" x14ac:dyDescent="0.3">
      <c r="C34" s="77" t="s">
        <v>19</v>
      </c>
      <c r="D34" s="123">
        <f t="shared" ref="D34:O34" si="41">D32+D33</f>
        <v>19841.558153846156</v>
      </c>
      <c r="E34" s="123">
        <f t="shared" si="41"/>
        <v>0</v>
      </c>
      <c r="F34" s="123">
        <f t="shared" si="41"/>
        <v>13541.558153846156</v>
      </c>
      <c r="G34" s="123">
        <f t="shared" si="41"/>
        <v>6910.4000000000005</v>
      </c>
      <c r="H34" s="123">
        <f t="shared" si="41"/>
        <v>14941.558153846156</v>
      </c>
      <c r="I34" s="123">
        <f t="shared" si="41"/>
        <v>19141.558153846156</v>
      </c>
      <c r="J34" s="123">
        <f t="shared" si="41"/>
        <v>19141.558153846156</v>
      </c>
      <c r="K34" s="123">
        <f t="shared" si="41"/>
        <v>19141.558153846156</v>
      </c>
      <c r="L34" s="123">
        <f t="shared" si="41"/>
        <v>19841.558153846156</v>
      </c>
      <c r="M34" s="123">
        <f t="shared" si="41"/>
        <v>26141.558153846159</v>
      </c>
      <c r="N34" s="123">
        <f t="shared" si="41"/>
        <v>21941.558153846156</v>
      </c>
      <c r="O34" s="123">
        <f t="shared" si="41"/>
        <v>21941.558153846156</v>
      </c>
      <c r="P34" s="156"/>
    </row>
    <row r="35" spans="3:16" ht="15.75" hidden="1" thickBot="1" x14ac:dyDescent="0.3">
      <c r="C35" s="76" t="s">
        <v>61</v>
      </c>
      <c r="D35" s="125">
        <f>D34</f>
        <v>19841.558153846156</v>
      </c>
      <c r="E35" s="125">
        <f>D35+E34</f>
        <v>19841.558153846156</v>
      </c>
      <c r="F35" s="125">
        <f t="shared" ref="F35" si="42">E35+F34</f>
        <v>33383.116307692311</v>
      </c>
      <c r="G35" s="125">
        <f t="shared" ref="G35" si="43">F35+G34</f>
        <v>40293.516307692313</v>
      </c>
      <c r="H35" s="125">
        <f t="shared" ref="H35" si="44">G35+H34</f>
        <v>55235.074461538468</v>
      </c>
      <c r="I35" s="125">
        <f t="shared" ref="I35" si="45">H35+I34</f>
        <v>74376.632615384617</v>
      </c>
      <c r="J35" s="125">
        <f t="shared" ref="J35" si="46">I35+J34</f>
        <v>93518.190769230772</v>
      </c>
      <c r="K35" s="125">
        <f t="shared" ref="K35" si="47">J35+K34</f>
        <v>112659.74892307693</v>
      </c>
      <c r="L35" s="125">
        <f t="shared" ref="L35" si="48">K35+L34</f>
        <v>132501.30707692308</v>
      </c>
      <c r="M35" s="125">
        <f t="shared" ref="M35" si="49">L35+M34</f>
        <v>158642.86523076924</v>
      </c>
      <c r="N35" s="125">
        <f t="shared" ref="N35" si="50">M35+N34</f>
        <v>180584.42338461539</v>
      </c>
      <c r="O35" s="157">
        <f t="shared" ref="O35" si="51">N35+O34</f>
        <v>202525.98153846155</v>
      </c>
      <c r="P35" s="156"/>
    </row>
    <row r="36" spans="3:16" ht="15.75" hidden="1" thickBot="1" x14ac:dyDescent="0.3">
      <c r="C36" s="78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56"/>
    </row>
    <row r="37" spans="3:16" x14ac:dyDescent="0.25">
      <c r="C37" s="108" t="s">
        <v>66</v>
      </c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60"/>
    </row>
    <row r="38" spans="3:16" x14ac:dyDescent="0.25">
      <c r="C38" s="76" t="s">
        <v>57</v>
      </c>
      <c r="D38" s="131">
        <f>P14+D27</f>
        <v>1820000</v>
      </c>
      <c r="E38" s="131">
        <f t="shared" ref="E38:P38" si="52">D38+E27</f>
        <v>1874000</v>
      </c>
      <c r="F38" s="131">
        <f t="shared" si="52"/>
        <v>1994000</v>
      </c>
      <c r="G38" s="131">
        <f t="shared" si="52"/>
        <v>2089000</v>
      </c>
      <c r="H38" s="131">
        <f t="shared" si="52"/>
        <v>2214000</v>
      </c>
      <c r="I38" s="131">
        <f t="shared" si="52"/>
        <v>2354000</v>
      </c>
      <c r="J38" s="131">
        <f t="shared" si="52"/>
        <v>2494000</v>
      </c>
      <c r="K38" s="131">
        <f t="shared" si="52"/>
        <v>2634000</v>
      </c>
      <c r="L38" s="131">
        <f t="shared" si="52"/>
        <v>2776500</v>
      </c>
      <c r="M38" s="131">
        <f t="shared" si="52"/>
        <v>2941500</v>
      </c>
      <c r="N38" s="131">
        <f t="shared" si="52"/>
        <v>3091500</v>
      </c>
      <c r="O38" s="121">
        <f t="shared" si="52"/>
        <v>3241500</v>
      </c>
      <c r="P38" s="161">
        <f t="shared" si="52"/>
        <v>3391500</v>
      </c>
    </row>
    <row r="39" spans="3:16" x14ac:dyDescent="0.25">
      <c r="C39" s="76" t="s">
        <v>58</v>
      </c>
      <c r="D39" s="131">
        <f>P15+D29</f>
        <v>86633.292307692274</v>
      </c>
      <c r="E39" s="131">
        <f t="shared" ref="E39" si="53">D39+E29</f>
        <v>89657.292307692274</v>
      </c>
      <c r="F39" s="131">
        <f t="shared" ref="F39" si="54">E39+F29</f>
        <v>96294.584615384578</v>
      </c>
      <c r="G39" s="131">
        <f t="shared" ref="G39" si="55">F39+G29</f>
        <v>101614.58461538458</v>
      </c>
      <c r="H39" s="131">
        <f t="shared" ref="H39" si="56">G39+H29</f>
        <v>108251.87692307688</v>
      </c>
      <c r="I39" s="131">
        <f t="shared" ref="I39" si="57">H39+I29</f>
        <v>114889.16923076918</v>
      </c>
      <c r="J39" s="131">
        <f t="shared" ref="J39" si="58">I39+J29</f>
        <v>121526.46153846149</v>
      </c>
      <c r="K39" s="131">
        <f t="shared" ref="K39" si="59">J39+K29</f>
        <v>128163.75384615379</v>
      </c>
      <c r="L39" s="131">
        <f t="shared" ref="L39" si="60">K39+L29</f>
        <v>134801.04615384611</v>
      </c>
      <c r="M39" s="131">
        <f t="shared" ref="M39" si="61">L39+M29</f>
        <v>141438.33846153843</v>
      </c>
      <c r="N39" s="131">
        <f t="shared" ref="N39" si="62">M39+N29</f>
        <v>148075.63076923075</v>
      </c>
      <c r="O39" s="121">
        <f t="shared" ref="O39:P39" si="63">N39+O29</f>
        <v>154712.92307692306</v>
      </c>
      <c r="P39" s="161">
        <f t="shared" si="63"/>
        <v>161350.21538461538</v>
      </c>
    </row>
    <row r="40" spans="3:16" x14ac:dyDescent="0.25">
      <c r="C40" s="104" t="s">
        <v>74</v>
      </c>
      <c r="D40" s="131">
        <f>IF(D38&gt;(780000/26),D38/3,(780000/26)*D28)</f>
        <v>606666.66666666663</v>
      </c>
      <c r="E40" s="131">
        <f t="shared" ref="E40:P40" si="64">IF(E38&gt;(780000/26),E38/3,(780000/26)*E28)</f>
        <v>624666.66666666663</v>
      </c>
      <c r="F40" s="131">
        <f t="shared" si="64"/>
        <v>664666.66666666663</v>
      </c>
      <c r="G40" s="131">
        <f t="shared" si="64"/>
        <v>696333.33333333337</v>
      </c>
      <c r="H40" s="131">
        <f t="shared" si="64"/>
        <v>738000</v>
      </c>
      <c r="I40" s="131">
        <f t="shared" si="64"/>
        <v>784666.66666666663</v>
      </c>
      <c r="J40" s="131">
        <f t="shared" si="64"/>
        <v>831333.33333333337</v>
      </c>
      <c r="K40" s="131">
        <f t="shared" si="64"/>
        <v>878000</v>
      </c>
      <c r="L40" s="131">
        <f t="shared" si="64"/>
        <v>925500</v>
      </c>
      <c r="M40" s="131">
        <f t="shared" si="64"/>
        <v>980500</v>
      </c>
      <c r="N40" s="131">
        <f t="shared" si="64"/>
        <v>1030500</v>
      </c>
      <c r="O40" s="131">
        <f t="shared" si="64"/>
        <v>1080500</v>
      </c>
      <c r="P40" s="132">
        <f t="shared" si="64"/>
        <v>1130500</v>
      </c>
    </row>
    <row r="41" spans="3:16" x14ac:dyDescent="0.25">
      <c r="C41" s="76" t="s">
        <v>56</v>
      </c>
      <c r="D41" s="131">
        <f t="shared" ref="D41" si="65">IF((D38-(D39+D40))&lt;0,0,(D38-(D39+D40)))</f>
        <v>1126700.0410256411</v>
      </c>
      <c r="E41" s="131">
        <f>IF((E38-(E39+E40))&lt;0,0,(E38-(E39+E40)))</f>
        <v>1159676.0410256411</v>
      </c>
      <c r="F41" s="131">
        <f t="shared" ref="F41:P41" si="66">IF((F38-(F39+F40))&lt;0,0,(F38-(F39+F40)))</f>
        <v>1233038.7487179488</v>
      </c>
      <c r="G41" s="131">
        <f t="shared" si="66"/>
        <v>1291052.0820512821</v>
      </c>
      <c r="H41" s="131">
        <f t="shared" si="66"/>
        <v>1367748.1230769232</v>
      </c>
      <c r="I41" s="131">
        <f t="shared" si="66"/>
        <v>1454444.1641025641</v>
      </c>
      <c r="J41" s="131">
        <f t="shared" si="66"/>
        <v>1541140.205128205</v>
      </c>
      <c r="K41" s="131">
        <f t="shared" si="66"/>
        <v>1627836.2461538462</v>
      </c>
      <c r="L41" s="131">
        <f t="shared" si="66"/>
        <v>1716198.9538461538</v>
      </c>
      <c r="M41" s="131">
        <f t="shared" si="66"/>
        <v>1819561.6615384617</v>
      </c>
      <c r="N41" s="131">
        <f t="shared" si="66"/>
        <v>1912924.3692307693</v>
      </c>
      <c r="O41" s="121">
        <f t="shared" si="66"/>
        <v>2006287.076923077</v>
      </c>
      <c r="P41" s="161">
        <f t="shared" si="66"/>
        <v>2099649.7846153844</v>
      </c>
    </row>
    <row r="42" spans="3:16" x14ac:dyDescent="0.25">
      <c r="C42" s="76" t="s">
        <v>59</v>
      </c>
      <c r="D42" s="162">
        <f>IF(D41&lt;=((1560000/26)*D28),D41*0.28,(1560000/26)*D28*0.28)</f>
        <v>235200.00000000003</v>
      </c>
      <c r="E42" s="162">
        <f t="shared" ref="E42:P42" si="67">IF(E41&lt;=((1560000/26)*E28),E41*0.28,(1560000/26)*E28*0.28)</f>
        <v>252000.00000000003</v>
      </c>
      <c r="F42" s="162">
        <f t="shared" si="67"/>
        <v>268800</v>
      </c>
      <c r="G42" s="162">
        <f t="shared" si="67"/>
        <v>285600</v>
      </c>
      <c r="H42" s="162">
        <f t="shared" si="67"/>
        <v>302400</v>
      </c>
      <c r="I42" s="162">
        <f t="shared" si="67"/>
        <v>319200.00000000006</v>
      </c>
      <c r="J42" s="162">
        <f t="shared" si="67"/>
        <v>336000.00000000006</v>
      </c>
      <c r="K42" s="162">
        <f t="shared" si="67"/>
        <v>352800.00000000006</v>
      </c>
      <c r="L42" s="162">
        <f t="shared" si="67"/>
        <v>369600.00000000006</v>
      </c>
      <c r="M42" s="162">
        <f t="shared" si="67"/>
        <v>386400.00000000006</v>
      </c>
      <c r="N42" s="162">
        <f t="shared" si="67"/>
        <v>403200.00000000006</v>
      </c>
      <c r="O42" s="162">
        <f t="shared" si="67"/>
        <v>420000.00000000006</v>
      </c>
      <c r="P42" s="163">
        <f t="shared" si="67"/>
        <v>436800.00000000006</v>
      </c>
    </row>
    <row r="43" spans="3:16" x14ac:dyDescent="0.25">
      <c r="C43" s="85" t="s">
        <v>60</v>
      </c>
      <c r="D43" s="162">
        <f>IF((D41-((1560000/26)*D28))&gt;0,(D41-(1560000/26)*D26)*40%,0)</f>
        <v>114680.01641025646</v>
      </c>
      <c r="E43" s="162">
        <f t="shared" ref="E43:O43" si="68">IF((E41-((1560000/26)*E28))&gt;0,(E41-(1560000/26)*E26)*40%,0)</f>
        <v>103870.41641025647</v>
      </c>
      <c r="F43" s="162">
        <f t="shared" si="68"/>
        <v>109215.49948717952</v>
      </c>
      <c r="G43" s="162">
        <f t="shared" si="68"/>
        <v>108420.83282051282</v>
      </c>
      <c r="H43" s="162">
        <f t="shared" si="68"/>
        <v>115099.24923076929</v>
      </c>
      <c r="I43" s="162">
        <f t="shared" si="68"/>
        <v>125777.66564102564</v>
      </c>
      <c r="J43" s="162">
        <f t="shared" si="68"/>
        <v>136456.08205128202</v>
      </c>
      <c r="K43" s="162">
        <f t="shared" si="68"/>
        <v>147134.49846153846</v>
      </c>
      <c r="L43" s="162">
        <f t="shared" si="68"/>
        <v>158479.58153846153</v>
      </c>
      <c r="M43" s="162">
        <f t="shared" si="68"/>
        <v>175824.66461538468</v>
      </c>
      <c r="N43" s="162">
        <f t="shared" si="68"/>
        <v>189169.74769230775</v>
      </c>
      <c r="O43" s="162">
        <f t="shared" si="68"/>
        <v>202514.83076923082</v>
      </c>
      <c r="P43" s="163">
        <f>IF((P41-((1560000/26)*P28))&gt;0,(P41-(1560000/26)*P26)*40%,0)</f>
        <v>215859.91384615377</v>
      </c>
    </row>
    <row r="44" spans="3:16" x14ac:dyDescent="0.25">
      <c r="C44" s="88" t="s">
        <v>67</v>
      </c>
      <c r="D44" s="167">
        <f>D42+D43</f>
        <v>349880.0164102565</v>
      </c>
      <c r="E44" s="167">
        <f>E42+E43</f>
        <v>355870.41641025653</v>
      </c>
      <c r="F44" s="167">
        <f t="shared" ref="F44:P44" si="69">F42+F43</f>
        <v>378015.49948717951</v>
      </c>
      <c r="G44" s="167">
        <f t="shared" si="69"/>
        <v>394020.83282051282</v>
      </c>
      <c r="H44" s="167">
        <f t="shared" si="69"/>
        <v>417499.24923076929</v>
      </c>
      <c r="I44" s="167">
        <f t="shared" si="69"/>
        <v>444977.6656410257</v>
      </c>
      <c r="J44" s="167">
        <f t="shared" si="69"/>
        <v>472456.08205128205</v>
      </c>
      <c r="K44" s="167">
        <f t="shared" si="69"/>
        <v>499934.49846153852</v>
      </c>
      <c r="L44" s="167">
        <f t="shared" si="69"/>
        <v>528079.58153846161</v>
      </c>
      <c r="M44" s="167">
        <f t="shared" si="69"/>
        <v>562224.66461538477</v>
      </c>
      <c r="N44" s="167">
        <f t="shared" si="69"/>
        <v>592369.74769230781</v>
      </c>
      <c r="O44" s="168">
        <f t="shared" si="69"/>
        <v>622514.83076923084</v>
      </c>
      <c r="P44" s="169">
        <f t="shared" si="69"/>
        <v>652659.91384615377</v>
      </c>
    </row>
    <row r="45" spans="3:16" x14ac:dyDescent="0.25">
      <c r="C45" s="90" t="s">
        <v>71</v>
      </c>
      <c r="D45" s="137">
        <f>P20</f>
        <v>321734.93333333335</v>
      </c>
      <c r="E45" s="137">
        <f>D44</f>
        <v>349880.0164102565</v>
      </c>
      <c r="F45" s="137">
        <f t="shared" ref="F45:P45" si="70">E44</f>
        <v>355870.41641025653</v>
      </c>
      <c r="G45" s="137">
        <f t="shared" si="70"/>
        <v>378015.49948717951</v>
      </c>
      <c r="H45" s="137">
        <f t="shared" si="70"/>
        <v>394020.83282051282</v>
      </c>
      <c r="I45" s="137">
        <f t="shared" si="70"/>
        <v>417499.24923076929</v>
      </c>
      <c r="J45" s="137">
        <f t="shared" si="70"/>
        <v>444977.6656410257</v>
      </c>
      <c r="K45" s="137">
        <f t="shared" si="70"/>
        <v>472456.08205128205</v>
      </c>
      <c r="L45" s="137">
        <f t="shared" si="70"/>
        <v>499934.49846153852</v>
      </c>
      <c r="M45" s="137">
        <f t="shared" si="70"/>
        <v>528079.58153846161</v>
      </c>
      <c r="N45" s="137">
        <f t="shared" si="70"/>
        <v>562224.66461538477</v>
      </c>
      <c r="O45" s="170">
        <f t="shared" si="70"/>
        <v>592369.74769230781</v>
      </c>
      <c r="P45" s="171">
        <f t="shared" si="70"/>
        <v>622514.83076923084</v>
      </c>
    </row>
    <row r="46" spans="3:16" ht="15.75" thickBot="1" x14ac:dyDescent="0.3">
      <c r="C46" s="92" t="s">
        <v>70</v>
      </c>
      <c r="D46" s="172">
        <f>D44-D45</f>
        <v>28145.083076923154</v>
      </c>
      <c r="E46" s="172">
        <f>E44-E45</f>
        <v>5990.4000000000233</v>
      </c>
      <c r="F46" s="172">
        <f t="shared" ref="F46:P46" si="71">F44-F45</f>
        <v>22145.08307692298</v>
      </c>
      <c r="G46" s="172">
        <f t="shared" si="71"/>
        <v>16005.333333333314</v>
      </c>
      <c r="H46" s="172">
        <f t="shared" si="71"/>
        <v>23478.416410256468</v>
      </c>
      <c r="I46" s="172">
        <f t="shared" si="71"/>
        <v>27478.41641025641</v>
      </c>
      <c r="J46" s="172">
        <f t="shared" si="71"/>
        <v>27478.416410256352</v>
      </c>
      <c r="K46" s="172">
        <f t="shared" si="71"/>
        <v>27478.416410256468</v>
      </c>
      <c r="L46" s="172">
        <f t="shared" si="71"/>
        <v>28145.083076923096</v>
      </c>
      <c r="M46" s="172">
        <f t="shared" si="71"/>
        <v>34145.083076923154</v>
      </c>
      <c r="N46" s="172">
        <f t="shared" si="71"/>
        <v>30145.083076923038</v>
      </c>
      <c r="O46" s="173">
        <f t="shared" si="71"/>
        <v>30145.083076923038</v>
      </c>
      <c r="P46" s="174">
        <f t="shared" si="71"/>
        <v>30145.083076922921</v>
      </c>
    </row>
    <row r="50" spans="7:8" x14ac:dyDescent="0.25">
      <c r="G50" s="26"/>
    </row>
    <row r="51" spans="7:8" x14ac:dyDescent="0.25">
      <c r="G51" s="7"/>
      <c r="H51" s="26"/>
    </row>
    <row r="61" spans="7:8" x14ac:dyDescent="0.25">
      <c r="G61" s="116"/>
    </row>
  </sheetData>
  <sheetProtection algorithmName="SHA-512" hashValue="6RzgG7zmRVK+78hwSTDHC4VmkWXQZLwd3ieKqg/WtLzu0c6cvzjPwVhOlYmhZSKyb7r8yvaJ6oVSWXN8EIoqqQ==" saltValue="qnCkoLJm8OVdBj6N2oo8WA==" spinCount="100000" sheet="1" formatCells="0" formatColumns="0" formatRows="0" insertColumns="0" insertRows="0" insertHyperlinks="0" deleteColumns="0" deleteRows="0" sort="0" autoFilter="0" pivotTables="0"/>
  <mergeCells count="1">
    <mergeCell ref="B3:B2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"/>
  <sheetViews>
    <sheetView tabSelected="1" zoomScale="60" zoomScaleNormal="60" workbookViewId="0">
      <selection activeCell="F69" sqref="F69"/>
    </sheetView>
  </sheetViews>
  <sheetFormatPr defaultRowHeight="15" x14ac:dyDescent="0.25"/>
  <cols>
    <col min="1" max="1" width="13.28515625" bestFit="1" customWidth="1"/>
    <col min="2" max="2" width="9.85546875" hidden="1" customWidth="1"/>
    <col min="3" max="3" width="58.140625" customWidth="1"/>
    <col min="4" max="15" width="12.7109375" customWidth="1"/>
    <col min="16" max="17" width="13.42578125" bestFit="1" customWidth="1"/>
    <col min="19" max="19" width="13.42578125" bestFit="1" customWidth="1"/>
  </cols>
  <sheetData>
    <row r="1" spans="1:19" ht="15.75" thickBot="1" x14ac:dyDescent="0.3"/>
    <row r="2" spans="1:19" ht="15.75" thickBot="1" x14ac:dyDescent="0.3">
      <c r="A2" s="69"/>
      <c r="B2" s="65" t="s">
        <v>62</v>
      </c>
      <c r="C2" s="105" t="s">
        <v>69</v>
      </c>
      <c r="D2" s="106">
        <v>1</v>
      </c>
      <c r="E2" s="106">
        <v>2</v>
      </c>
      <c r="F2" s="106">
        <v>3</v>
      </c>
      <c r="G2" s="106">
        <v>4</v>
      </c>
      <c r="H2" s="106">
        <v>5</v>
      </c>
      <c r="I2" s="106">
        <v>6</v>
      </c>
      <c r="J2" s="106">
        <v>7</v>
      </c>
      <c r="K2" s="106">
        <v>8</v>
      </c>
      <c r="L2" s="106">
        <v>9</v>
      </c>
      <c r="M2" s="106">
        <v>10</v>
      </c>
      <c r="N2" s="106">
        <v>11</v>
      </c>
      <c r="O2" s="106">
        <v>12</v>
      </c>
      <c r="P2" s="110">
        <v>13</v>
      </c>
    </row>
    <row r="3" spans="1:19" ht="15" customHeight="1" x14ac:dyDescent="0.25">
      <c r="A3" s="69"/>
      <c r="B3" s="179"/>
      <c r="C3" s="75" t="s">
        <v>73</v>
      </c>
      <c r="D3" s="141">
        <v>59262</v>
      </c>
      <c r="E3" s="141">
        <f>65000/4</f>
        <v>16250</v>
      </c>
      <c r="F3" s="141">
        <v>25000</v>
      </c>
      <c r="G3" s="141">
        <f>200000/4</f>
        <v>50000</v>
      </c>
      <c r="H3" s="141">
        <f>250000/4</f>
        <v>62500</v>
      </c>
      <c r="I3" s="141">
        <v>45000</v>
      </c>
      <c r="J3" s="141">
        <f>280000/4</f>
        <v>70000</v>
      </c>
      <c r="K3" s="141">
        <v>55000</v>
      </c>
      <c r="L3" s="141">
        <f>275000/4</f>
        <v>68750</v>
      </c>
      <c r="M3" s="141">
        <v>40000</v>
      </c>
      <c r="N3" s="141">
        <f>300000/4</f>
        <v>75000</v>
      </c>
      <c r="O3" s="141">
        <f>300000/4</f>
        <v>75000</v>
      </c>
      <c r="P3" s="178">
        <f>300000/4</f>
        <v>75000</v>
      </c>
    </row>
    <row r="4" spans="1:19" ht="15" customHeight="1" x14ac:dyDescent="0.25">
      <c r="A4" s="69"/>
      <c r="B4" s="180"/>
      <c r="C4" s="109" t="s">
        <v>63</v>
      </c>
      <c r="D4" s="112">
        <v>1</v>
      </c>
      <c r="E4" s="112">
        <v>2</v>
      </c>
      <c r="F4" s="112">
        <v>3</v>
      </c>
      <c r="G4" s="112">
        <v>4</v>
      </c>
      <c r="H4" s="112">
        <v>5</v>
      </c>
      <c r="I4" s="112">
        <v>6</v>
      </c>
      <c r="J4" s="112">
        <v>7</v>
      </c>
      <c r="K4" s="112">
        <v>8</v>
      </c>
      <c r="L4" s="112">
        <v>9</v>
      </c>
      <c r="M4" s="112">
        <v>10</v>
      </c>
      <c r="N4" s="112">
        <v>11</v>
      </c>
      <c r="O4" s="112">
        <v>12</v>
      </c>
      <c r="P4" s="114">
        <v>13</v>
      </c>
    </row>
    <row r="5" spans="1:19" ht="15" customHeight="1" thickBot="1" x14ac:dyDescent="0.3">
      <c r="A5" s="69"/>
      <c r="B5" s="180"/>
      <c r="C5" s="81" t="s">
        <v>17</v>
      </c>
      <c r="D5" s="82">
        <f>IF(D3&lt;(2880000/52),D3*5.6%,(2880000/52)*5.6%)</f>
        <v>3101.538461538461</v>
      </c>
      <c r="E5" s="82">
        <f>IF(E3&lt;(2880000/52),E3*5.6%,(2880000/52)*5.6%)</f>
        <v>909.99999999999989</v>
      </c>
      <c r="F5" s="82">
        <f>IF(F3&lt;(2880000/52),F3*5.6%,(2880000/52)*5.6%)</f>
        <v>1399.9999999999998</v>
      </c>
      <c r="G5" s="82">
        <f>IF(G3&lt;(2880000/52),G3*5.6%,(2880000/52)*5.6%)</f>
        <v>2799.9999999999995</v>
      </c>
      <c r="H5" s="82">
        <f t="shared" ref="H5:P5" si="0">IF(H3&lt;(3081600/52),H3*5.6%,(3081600/52)*5.6%)</f>
        <v>3318.6461538461535</v>
      </c>
      <c r="I5" s="82">
        <f t="shared" si="0"/>
        <v>2519.9999999999995</v>
      </c>
      <c r="J5" s="82">
        <f t="shared" si="0"/>
        <v>3318.6461538461535</v>
      </c>
      <c r="K5" s="82">
        <f t="shared" si="0"/>
        <v>3079.9999999999995</v>
      </c>
      <c r="L5" s="82">
        <f t="shared" si="0"/>
        <v>3318.6461538461535</v>
      </c>
      <c r="M5" s="82">
        <f t="shared" si="0"/>
        <v>2239.9999999999995</v>
      </c>
      <c r="N5" s="82">
        <f t="shared" si="0"/>
        <v>3318.6461538461535</v>
      </c>
      <c r="O5" s="82">
        <f t="shared" si="0"/>
        <v>3318.6461538461535</v>
      </c>
      <c r="P5" s="82">
        <f t="shared" si="0"/>
        <v>3318.6461538461535</v>
      </c>
    </row>
    <row r="6" spans="1:19" ht="15" hidden="1" customHeight="1" thickBot="1" x14ac:dyDescent="0.3">
      <c r="A6" s="69"/>
      <c r="B6" s="180"/>
      <c r="C6" s="81" t="s">
        <v>55</v>
      </c>
      <c r="D6" s="82">
        <f t="shared" ref="D6:O6" si="1">IF(D3&gt;180000,D3/3,65000)</f>
        <v>65000</v>
      </c>
      <c r="E6" s="82">
        <f t="shared" si="1"/>
        <v>65000</v>
      </c>
      <c r="F6" s="82">
        <f t="shared" si="1"/>
        <v>65000</v>
      </c>
      <c r="G6" s="82">
        <f t="shared" si="1"/>
        <v>65000</v>
      </c>
      <c r="H6" s="82">
        <f t="shared" si="1"/>
        <v>65000</v>
      </c>
      <c r="I6" s="82">
        <f t="shared" si="1"/>
        <v>65000</v>
      </c>
      <c r="J6" s="82">
        <f t="shared" si="1"/>
        <v>65000</v>
      </c>
      <c r="K6" s="82">
        <f t="shared" si="1"/>
        <v>65000</v>
      </c>
      <c r="L6" s="82">
        <f t="shared" si="1"/>
        <v>65000</v>
      </c>
      <c r="M6" s="82">
        <f t="shared" si="1"/>
        <v>65000</v>
      </c>
      <c r="N6" s="82">
        <f t="shared" si="1"/>
        <v>65000</v>
      </c>
      <c r="O6" s="82">
        <f t="shared" si="1"/>
        <v>65000</v>
      </c>
      <c r="P6" s="98"/>
    </row>
    <row r="7" spans="1:19" ht="15" hidden="1" customHeight="1" x14ac:dyDescent="0.25">
      <c r="A7" s="69"/>
      <c r="B7" s="180"/>
      <c r="C7" s="76" t="s">
        <v>56</v>
      </c>
      <c r="D7" s="66">
        <f t="shared" ref="D7:O7" si="2">IF((D3-(D5+D6))&lt;0,0,(D3-(D5+D6)))</f>
        <v>0</v>
      </c>
      <c r="E7" s="66">
        <f t="shared" si="2"/>
        <v>0</v>
      </c>
      <c r="F7" s="66">
        <f t="shared" si="2"/>
        <v>0</v>
      </c>
      <c r="G7" s="66">
        <f t="shared" si="2"/>
        <v>0</v>
      </c>
      <c r="H7" s="66">
        <f t="shared" si="2"/>
        <v>0</v>
      </c>
      <c r="I7" s="66">
        <f t="shared" si="2"/>
        <v>0</v>
      </c>
      <c r="J7" s="66">
        <f t="shared" si="2"/>
        <v>1681.353846153841</v>
      </c>
      <c r="K7" s="66">
        <f t="shared" si="2"/>
        <v>0</v>
      </c>
      <c r="L7" s="66">
        <f t="shared" si="2"/>
        <v>431.353846153841</v>
      </c>
      <c r="M7" s="66">
        <f t="shared" si="2"/>
        <v>0</v>
      </c>
      <c r="N7" s="66">
        <f t="shared" si="2"/>
        <v>6681.353846153841</v>
      </c>
      <c r="O7" s="66">
        <f t="shared" si="2"/>
        <v>6681.353846153841</v>
      </c>
      <c r="P7" s="98"/>
    </row>
    <row r="8" spans="1:19" ht="15" hidden="1" customHeight="1" x14ac:dyDescent="0.25">
      <c r="A8" s="69"/>
      <c r="B8" s="180"/>
      <c r="C8" s="76" t="s">
        <v>64</v>
      </c>
      <c r="D8" s="66">
        <f>IF(D7&lt;120000,D7*0.28,120000*0.28)</f>
        <v>0</v>
      </c>
      <c r="E8" s="66">
        <f t="shared" ref="E8:O8" si="3">IF(E7&lt;120000,E7*0.28,120000*0.28)</f>
        <v>0</v>
      </c>
      <c r="F8" s="66">
        <f t="shared" si="3"/>
        <v>0</v>
      </c>
      <c r="G8" s="66">
        <f t="shared" si="3"/>
        <v>0</v>
      </c>
      <c r="H8" s="66">
        <f t="shared" si="3"/>
        <v>0</v>
      </c>
      <c r="I8" s="66">
        <f t="shared" si="3"/>
        <v>0</v>
      </c>
      <c r="J8" s="66">
        <f t="shared" si="3"/>
        <v>470.77907692307554</v>
      </c>
      <c r="K8" s="66">
        <f t="shared" si="3"/>
        <v>0</v>
      </c>
      <c r="L8" s="66">
        <f t="shared" si="3"/>
        <v>120.77907692307549</v>
      </c>
      <c r="M8" s="66">
        <f t="shared" si="3"/>
        <v>0</v>
      </c>
      <c r="N8" s="66">
        <f t="shared" si="3"/>
        <v>1870.7790769230758</v>
      </c>
      <c r="O8" s="66">
        <f t="shared" si="3"/>
        <v>1870.7790769230758</v>
      </c>
      <c r="P8" s="98"/>
    </row>
    <row r="9" spans="1:19" ht="15" hidden="1" customHeight="1" x14ac:dyDescent="0.25">
      <c r="A9" s="69"/>
      <c r="B9" s="180"/>
      <c r="C9" s="76" t="s">
        <v>65</v>
      </c>
      <c r="D9" s="66">
        <f>IF(D7-120000&gt;0,(D7-120000)*40%,0)</f>
        <v>0</v>
      </c>
      <c r="E9" s="66">
        <f t="shared" ref="E9:O9" si="4">IF(E7-120000&gt;0,(E7-120000)*40%,0)</f>
        <v>0</v>
      </c>
      <c r="F9" s="66">
        <f t="shared" si="4"/>
        <v>0</v>
      </c>
      <c r="G9" s="66">
        <f t="shared" si="4"/>
        <v>0</v>
      </c>
      <c r="H9" s="66">
        <f t="shared" si="4"/>
        <v>0</v>
      </c>
      <c r="I9" s="66">
        <f t="shared" si="4"/>
        <v>0</v>
      </c>
      <c r="J9" s="66">
        <f t="shared" si="4"/>
        <v>0</v>
      </c>
      <c r="K9" s="66">
        <f t="shared" si="4"/>
        <v>0</v>
      </c>
      <c r="L9" s="66">
        <f t="shared" si="4"/>
        <v>0</v>
      </c>
      <c r="M9" s="66">
        <f t="shared" si="4"/>
        <v>0</v>
      </c>
      <c r="N9" s="66">
        <f t="shared" si="4"/>
        <v>0</v>
      </c>
      <c r="O9" s="66">
        <f t="shared" si="4"/>
        <v>0</v>
      </c>
      <c r="P9" s="98"/>
    </row>
    <row r="10" spans="1:19" ht="15" hidden="1" customHeight="1" x14ac:dyDescent="0.25">
      <c r="A10" s="69"/>
      <c r="B10" s="180"/>
      <c r="C10" s="77" t="s">
        <v>19</v>
      </c>
      <c r="D10" s="67">
        <f t="shared" ref="D10:O10" si="5">D8+D9</f>
        <v>0</v>
      </c>
      <c r="E10" s="67">
        <f t="shared" si="5"/>
        <v>0</v>
      </c>
      <c r="F10" s="67">
        <f t="shared" si="5"/>
        <v>0</v>
      </c>
      <c r="G10" s="67">
        <f t="shared" si="5"/>
        <v>0</v>
      </c>
      <c r="H10" s="67">
        <f t="shared" si="5"/>
        <v>0</v>
      </c>
      <c r="I10" s="67">
        <f t="shared" si="5"/>
        <v>0</v>
      </c>
      <c r="J10" s="67">
        <f t="shared" si="5"/>
        <v>470.77907692307554</v>
      </c>
      <c r="K10" s="67">
        <f t="shared" si="5"/>
        <v>0</v>
      </c>
      <c r="L10" s="67">
        <f t="shared" si="5"/>
        <v>120.77907692307549</v>
      </c>
      <c r="M10" s="67">
        <f t="shared" si="5"/>
        <v>0</v>
      </c>
      <c r="N10" s="67">
        <f t="shared" si="5"/>
        <v>1870.7790769230758</v>
      </c>
      <c r="O10" s="67">
        <f t="shared" si="5"/>
        <v>1870.7790769230758</v>
      </c>
      <c r="P10" s="98"/>
    </row>
    <row r="11" spans="1:19" ht="15" hidden="1" customHeight="1" x14ac:dyDescent="0.25">
      <c r="A11" s="69"/>
      <c r="B11" s="180"/>
      <c r="C11" s="76" t="s">
        <v>61</v>
      </c>
      <c r="D11" s="68">
        <f>D10</f>
        <v>0</v>
      </c>
      <c r="E11" s="68">
        <f>D11+E10</f>
        <v>0</v>
      </c>
      <c r="F11" s="68">
        <f t="shared" ref="F11:O11" si="6">E11+F10</f>
        <v>0</v>
      </c>
      <c r="G11" s="68">
        <f t="shared" si="6"/>
        <v>0</v>
      </c>
      <c r="H11" s="68">
        <f t="shared" si="6"/>
        <v>0</v>
      </c>
      <c r="I11" s="68">
        <f t="shared" si="6"/>
        <v>0</v>
      </c>
      <c r="J11" s="68">
        <f t="shared" si="6"/>
        <v>470.77907692307554</v>
      </c>
      <c r="K11" s="68">
        <f t="shared" si="6"/>
        <v>470.77907692307554</v>
      </c>
      <c r="L11" s="68">
        <f t="shared" si="6"/>
        <v>591.55815384615107</v>
      </c>
      <c r="M11" s="68">
        <f t="shared" si="6"/>
        <v>591.55815384615107</v>
      </c>
      <c r="N11" s="68">
        <f t="shared" si="6"/>
        <v>2462.3372307692271</v>
      </c>
      <c r="O11" s="93">
        <f t="shared" si="6"/>
        <v>4333.1163076923031</v>
      </c>
      <c r="P11" s="98"/>
    </row>
    <row r="12" spans="1:19" ht="15" customHeight="1" thickBot="1" x14ac:dyDescent="0.3">
      <c r="A12" s="69"/>
      <c r="B12" s="180"/>
      <c r="C12" s="78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98"/>
    </row>
    <row r="13" spans="1:19" ht="15" customHeight="1" x14ac:dyDescent="0.25">
      <c r="A13" s="72"/>
      <c r="B13" s="180"/>
      <c r="C13" s="108" t="s">
        <v>66</v>
      </c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1"/>
    </row>
    <row r="14" spans="1:19" x14ac:dyDescent="0.25">
      <c r="A14" s="70"/>
      <c r="B14" s="180"/>
      <c r="C14" s="76" t="s">
        <v>57</v>
      </c>
      <c r="D14" s="83">
        <f>D3</f>
        <v>59262</v>
      </c>
      <c r="E14" s="83">
        <f t="shared" ref="E14:P14" si="7">D14+E3</f>
        <v>75512</v>
      </c>
      <c r="F14" s="83">
        <f t="shared" si="7"/>
        <v>100512</v>
      </c>
      <c r="G14" s="83">
        <f t="shared" si="7"/>
        <v>150512</v>
      </c>
      <c r="H14" s="83">
        <f t="shared" si="7"/>
        <v>213012</v>
      </c>
      <c r="I14" s="83">
        <f t="shared" si="7"/>
        <v>258012</v>
      </c>
      <c r="J14" s="83">
        <f t="shared" si="7"/>
        <v>328012</v>
      </c>
      <c r="K14" s="83">
        <f t="shared" si="7"/>
        <v>383012</v>
      </c>
      <c r="L14" s="83">
        <f t="shared" si="7"/>
        <v>451762</v>
      </c>
      <c r="M14" s="83">
        <f t="shared" si="7"/>
        <v>491762</v>
      </c>
      <c r="N14" s="83">
        <f t="shared" si="7"/>
        <v>566762</v>
      </c>
      <c r="O14" s="66">
        <f t="shared" si="7"/>
        <v>641762</v>
      </c>
      <c r="P14" s="153">
        <f t="shared" si="7"/>
        <v>716762</v>
      </c>
      <c r="Q14" s="7"/>
    </row>
    <row r="15" spans="1:19" x14ac:dyDescent="0.25">
      <c r="A15" s="71"/>
      <c r="B15" s="180"/>
      <c r="C15" s="76" t="s">
        <v>58</v>
      </c>
      <c r="D15" s="83">
        <f>D5</f>
        <v>3101.538461538461</v>
      </c>
      <c r="E15" s="83">
        <f t="shared" ref="E15:P15" si="8">D15+E5</f>
        <v>4011.538461538461</v>
      </c>
      <c r="F15" s="83">
        <f t="shared" si="8"/>
        <v>5411.538461538461</v>
      </c>
      <c r="G15" s="83">
        <f t="shared" si="8"/>
        <v>8211.538461538461</v>
      </c>
      <c r="H15" s="83">
        <f t="shared" si="8"/>
        <v>11530.184615384615</v>
      </c>
      <c r="I15" s="83">
        <f t="shared" si="8"/>
        <v>14050.184615384615</v>
      </c>
      <c r="J15" s="83">
        <f t="shared" si="8"/>
        <v>17368.830769230768</v>
      </c>
      <c r="K15" s="83">
        <f t="shared" si="8"/>
        <v>20448.830769230768</v>
      </c>
      <c r="L15" s="83">
        <f t="shared" si="8"/>
        <v>23767.476923076923</v>
      </c>
      <c r="M15" s="83">
        <f t="shared" si="8"/>
        <v>26007.476923076923</v>
      </c>
      <c r="N15" s="83">
        <f t="shared" si="8"/>
        <v>29326.123076923075</v>
      </c>
      <c r="O15" s="66">
        <f t="shared" si="8"/>
        <v>32644.769230769227</v>
      </c>
      <c r="P15" s="99">
        <f t="shared" si="8"/>
        <v>35963.415384615379</v>
      </c>
      <c r="Q15" s="7"/>
    </row>
    <row r="16" spans="1:19" x14ac:dyDescent="0.25">
      <c r="A16" s="26"/>
      <c r="B16" s="180"/>
      <c r="C16" s="104" t="s">
        <v>74</v>
      </c>
      <c r="D16" s="83">
        <f>IF(D14&gt;(780000/52),D14/3,(780000/52)*D4)</f>
        <v>19754</v>
      </c>
      <c r="E16" s="83">
        <f t="shared" ref="E16:P16" si="9">IF(E14&gt;(780000/52),E14/3,(780000/52)*E4)</f>
        <v>25170.666666666668</v>
      </c>
      <c r="F16" s="83">
        <f t="shared" si="9"/>
        <v>33504</v>
      </c>
      <c r="G16" s="83">
        <f t="shared" si="9"/>
        <v>50170.666666666664</v>
      </c>
      <c r="H16" s="83">
        <f t="shared" si="9"/>
        <v>71004</v>
      </c>
      <c r="I16" s="83">
        <f t="shared" si="9"/>
        <v>86004</v>
      </c>
      <c r="J16" s="83">
        <f t="shared" si="9"/>
        <v>109337.33333333333</v>
      </c>
      <c r="K16" s="83">
        <f t="shared" si="9"/>
        <v>127670.66666666667</v>
      </c>
      <c r="L16" s="83">
        <f t="shared" si="9"/>
        <v>150587.33333333334</v>
      </c>
      <c r="M16" s="83">
        <f t="shared" si="9"/>
        <v>163920.66666666666</v>
      </c>
      <c r="N16" s="83">
        <f t="shared" si="9"/>
        <v>188920.66666666666</v>
      </c>
      <c r="O16" s="83">
        <f t="shared" si="9"/>
        <v>213920.66666666666</v>
      </c>
      <c r="P16" s="103">
        <f t="shared" si="9"/>
        <v>238920.66666666666</v>
      </c>
      <c r="S16" s="7"/>
    </row>
    <row r="17" spans="1:17" x14ac:dyDescent="0.25">
      <c r="A17" s="26"/>
      <c r="B17" s="180"/>
      <c r="C17" s="76" t="s">
        <v>56</v>
      </c>
      <c r="D17" s="83">
        <f t="shared" ref="D17:P17" si="10">IF((D14-(D15+D16))&lt;0,0,(D14-(D15+D16)))</f>
        <v>36406.461538461539</v>
      </c>
      <c r="E17" s="83">
        <f>IF((E14-(E15+E16))&lt;0,0,(E14-(E15+E16)))</f>
        <v>46329.794871794875</v>
      </c>
      <c r="F17" s="83">
        <f t="shared" si="10"/>
        <v>61596.461538461539</v>
      </c>
      <c r="G17" s="83">
        <f t="shared" si="10"/>
        <v>92129.794871794875</v>
      </c>
      <c r="H17" s="83">
        <f t="shared" si="10"/>
        <v>130477.81538461539</v>
      </c>
      <c r="I17" s="83">
        <f t="shared" si="10"/>
        <v>157957.81538461539</v>
      </c>
      <c r="J17" s="83">
        <f t="shared" si="10"/>
        <v>201305.8358974359</v>
      </c>
      <c r="K17" s="83">
        <f t="shared" si="10"/>
        <v>234892.50256410256</v>
      </c>
      <c r="L17" s="83">
        <f t="shared" si="10"/>
        <v>277407.18974358973</v>
      </c>
      <c r="M17" s="83">
        <f t="shared" si="10"/>
        <v>301833.85641025641</v>
      </c>
      <c r="N17" s="83">
        <f t="shared" si="10"/>
        <v>348515.2102564103</v>
      </c>
      <c r="O17" s="66">
        <f t="shared" si="10"/>
        <v>395196.56410256412</v>
      </c>
      <c r="P17" s="99">
        <f t="shared" si="10"/>
        <v>441877.91794871795</v>
      </c>
      <c r="Q17" s="7"/>
    </row>
    <row r="18" spans="1:17" x14ac:dyDescent="0.25">
      <c r="A18" s="26"/>
      <c r="B18" s="180"/>
      <c r="C18" s="76" t="s">
        <v>59</v>
      </c>
      <c r="D18" s="83">
        <f>IF(D17&lt;=((1560000/52)* D4),D17*0.28,((1560000/52)*D4*0.28))</f>
        <v>8400</v>
      </c>
      <c r="E18" s="83">
        <f t="shared" ref="E18:P18" si="11">IF(E17&lt;=((1560000/52)* E4),E17*0.28,((1560000/52)*E4*0.28))</f>
        <v>12972.342564102566</v>
      </c>
      <c r="F18" s="83">
        <f t="shared" si="11"/>
        <v>17247.009230769232</v>
      </c>
      <c r="G18" s="83">
        <f t="shared" si="11"/>
        <v>25796.342564102568</v>
      </c>
      <c r="H18" s="83">
        <f t="shared" si="11"/>
        <v>36533.78830769231</v>
      </c>
      <c r="I18" s="83">
        <f t="shared" si="11"/>
        <v>44228.188307692311</v>
      </c>
      <c r="J18" s="83">
        <f t="shared" si="11"/>
        <v>56365.634051282061</v>
      </c>
      <c r="K18" s="83">
        <f t="shared" si="11"/>
        <v>65769.900717948723</v>
      </c>
      <c r="L18" s="83">
        <f t="shared" si="11"/>
        <v>75600</v>
      </c>
      <c r="M18" s="83">
        <f t="shared" si="11"/>
        <v>84000.000000000015</v>
      </c>
      <c r="N18" s="83">
        <f t="shared" si="11"/>
        <v>92400.000000000015</v>
      </c>
      <c r="O18" s="83">
        <f t="shared" si="11"/>
        <v>100800.00000000001</v>
      </c>
      <c r="P18" s="103">
        <f t="shared" si="11"/>
        <v>109200.00000000001</v>
      </c>
      <c r="Q18" s="7"/>
    </row>
    <row r="19" spans="1:17" x14ac:dyDescent="0.25">
      <c r="A19" s="26"/>
      <c r="B19" s="180"/>
      <c r="C19" s="85" t="s">
        <v>60</v>
      </c>
      <c r="D19" s="86">
        <f>IF((D17-(1560000/52)*D4)&gt;0,(D17-((1560000/52)*D4))*0.4,0)</f>
        <v>2562.584615384616</v>
      </c>
      <c r="E19" s="86">
        <f t="shared" ref="E19:P19" si="12">IF((E17-(1560000/52)*E4)&gt;0,(E17-((1560000/52)*E4))*0.4,0)</f>
        <v>0</v>
      </c>
      <c r="F19" s="86">
        <f t="shared" si="12"/>
        <v>0</v>
      </c>
      <c r="G19" s="86">
        <f t="shared" si="12"/>
        <v>0</v>
      </c>
      <c r="H19" s="86">
        <f t="shared" si="12"/>
        <v>0</v>
      </c>
      <c r="I19" s="86">
        <f t="shared" si="12"/>
        <v>0</v>
      </c>
      <c r="J19" s="86">
        <f t="shared" si="12"/>
        <v>0</v>
      </c>
      <c r="K19" s="86">
        <f t="shared" si="12"/>
        <v>0</v>
      </c>
      <c r="L19" s="86">
        <f t="shared" si="12"/>
        <v>2962.8758974358907</v>
      </c>
      <c r="M19" s="86">
        <f t="shared" si="12"/>
        <v>733.54256410256494</v>
      </c>
      <c r="N19" s="86">
        <f t="shared" si="12"/>
        <v>7406.0841025641193</v>
      </c>
      <c r="O19" s="86">
        <f t="shared" si="12"/>
        <v>14078.62564102565</v>
      </c>
      <c r="P19" s="87">
        <f t="shared" si="12"/>
        <v>20751.16717948718</v>
      </c>
      <c r="Q19" s="7"/>
    </row>
    <row r="20" spans="1:17" x14ac:dyDescent="0.25">
      <c r="A20" s="26"/>
      <c r="B20" s="180"/>
      <c r="C20" s="88" t="s">
        <v>67</v>
      </c>
      <c r="D20" s="89">
        <f>D18+D19</f>
        <v>10962.584615384616</v>
      </c>
      <c r="E20" s="89">
        <f>E18+E19</f>
        <v>12972.342564102566</v>
      </c>
      <c r="F20" s="89">
        <f t="shared" ref="F20:P20" si="13">F18+F19</f>
        <v>17247.009230769232</v>
      </c>
      <c r="G20" s="89">
        <f t="shared" si="13"/>
        <v>25796.342564102568</v>
      </c>
      <c r="H20" s="89">
        <f t="shared" si="13"/>
        <v>36533.78830769231</v>
      </c>
      <c r="I20" s="89">
        <f t="shared" si="13"/>
        <v>44228.188307692311</v>
      </c>
      <c r="J20" s="89">
        <f t="shared" si="13"/>
        <v>56365.634051282061</v>
      </c>
      <c r="K20" s="89">
        <f t="shared" si="13"/>
        <v>65769.900717948723</v>
      </c>
      <c r="L20" s="89">
        <f t="shared" si="13"/>
        <v>78562.875897435893</v>
      </c>
      <c r="M20" s="89">
        <f t="shared" si="13"/>
        <v>84733.542564102579</v>
      </c>
      <c r="N20" s="89">
        <f t="shared" si="13"/>
        <v>99806.084102564128</v>
      </c>
      <c r="O20" s="94">
        <f t="shared" si="13"/>
        <v>114878.62564102566</v>
      </c>
      <c r="P20" s="101">
        <f t="shared" si="13"/>
        <v>129951.16717948719</v>
      </c>
      <c r="Q20" s="26"/>
    </row>
    <row r="21" spans="1:17" x14ac:dyDescent="0.25">
      <c r="A21" s="7"/>
      <c r="B21" s="180"/>
      <c r="C21" s="90" t="s">
        <v>71</v>
      </c>
      <c r="D21" s="91">
        <v>0</v>
      </c>
      <c r="E21" s="91">
        <f>D23</f>
        <v>10962.584615384616</v>
      </c>
      <c r="F21" s="91">
        <f>E23</f>
        <v>12972.342564102566</v>
      </c>
      <c r="G21" s="91">
        <f t="shared" ref="G21:P21" si="14">F23</f>
        <v>17247.009230769232</v>
      </c>
      <c r="H21" s="91">
        <f t="shared" si="14"/>
        <v>25796.342564102568</v>
      </c>
      <c r="I21" s="91">
        <f t="shared" si="14"/>
        <v>36533.78830769231</v>
      </c>
      <c r="J21" s="91">
        <f t="shared" si="14"/>
        <v>44228.188307692311</v>
      </c>
      <c r="K21" s="91">
        <f t="shared" si="14"/>
        <v>56365.634051282061</v>
      </c>
      <c r="L21" s="91">
        <f t="shared" si="14"/>
        <v>65769.900717948723</v>
      </c>
      <c r="M21" s="91">
        <f t="shared" si="14"/>
        <v>78562.875897435893</v>
      </c>
      <c r="N21" s="91">
        <f t="shared" si="14"/>
        <v>84733.542564102579</v>
      </c>
      <c r="O21" s="95">
        <f t="shared" si="14"/>
        <v>99806.084102564128</v>
      </c>
      <c r="P21" s="100">
        <f t="shared" si="14"/>
        <v>114878.62564102566</v>
      </c>
    </row>
    <row r="22" spans="1:17" ht="15.75" thickBot="1" x14ac:dyDescent="0.3">
      <c r="A22" s="26"/>
      <c r="B22" s="180"/>
      <c r="C22" s="92" t="s">
        <v>70</v>
      </c>
      <c r="D22" s="84">
        <f>D20-D21</f>
        <v>10962.584615384616</v>
      </c>
      <c r="E22" s="84">
        <f>E20-E21</f>
        <v>2009.7579487179501</v>
      </c>
      <c r="F22" s="84">
        <f t="shared" ref="F22:P22" si="15">F20-F21</f>
        <v>4274.6666666666661</v>
      </c>
      <c r="G22" s="84">
        <f t="shared" si="15"/>
        <v>8549.3333333333358</v>
      </c>
      <c r="H22" s="84">
        <f t="shared" si="15"/>
        <v>10737.445743589742</v>
      </c>
      <c r="I22" s="84">
        <f t="shared" si="15"/>
        <v>7694.4000000000015</v>
      </c>
      <c r="J22" s="84">
        <f t="shared" si="15"/>
        <v>12137.445743589749</v>
      </c>
      <c r="K22" s="84">
        <f t="shared" si="15"/>
        <v>9404.2666666666628</v>
      </c>
      <c r="L22" s="84">
        <f t="shared" si="15"/>
        <v>12792.97517948717</v>
      </c>
      <c r="M22" s="84">
        <f t="shared" si="15"/>
        <v>6170.6666666666861</v>
      </c>
      <c r="N22" s="84">
        <f t="shared" si="15"/>
        <v>15072.541538461548</v>
      </c>
      <c r="O22" s="96">
        <f t="shared" si="15"/>
        <v>15072.541538461533</v>
      </c>
      <c r="P22" s="102">
        <f t="shared" si="15"/>
        <v>15072.541538461533</v>
      </c>
    </row>
    <row r="23" spans="1:17" ht="15.75" hidden="1" thickBot="1" x14ac:dyDescent="0.3">
      <c r="A23" s="7"/>
      <c r="B23" s="181"/>
      <c r="C23" s="79" t="s">
        <v>61</v>
      </c>
      <c r="D23" s="73">
        <f>D22</f>
        <v>10962.584615384616</v>
      </c>
      <c r="E23" s="73">
        <f>E22+E21</f>
        <v>12972.342564102566</v>
      </c>
      <c r="F23" s="73">
        <f t="shared" ref="F23:O23" si="16">F22+F21</f>
        <v>17247.009230769232</v>
      </c>
      <c r="G23" s="73">
        <f t="shared" si="16"/>
        <v>25796.342564102568</v>
      </c>
      <c r="H23" s="73">
        <f t="shared" si="16"/>
        <v>36533.78830769231</v>
      </c>
      <c r="I23" s="73">
        <f t="shared" si="16"/>
        <v>44228.188307692311</v>
      </c>
      <c r="J23" s="73">
        <f t="shared" si="16"/>
        <v>56365.634051282061</v>
      </c>
      <c r="K23" s="73">
        <f t="shared" si="16"/>
        <v>65769.900717948723</v>
      </c>
      <c r="L23" s="73">
        <f t="shared" si="16"/>
        <v>78562.875897435893</v>
      </c>
      <c r="M23" s="73">
        <f t="shared" si="16"/>
        <v>84733.542564102579</v>
      </c>
      <c r="N23" s="73">
        <f t="shared" si="16"/>
        <v>99806.084102564128</v>
      </c>
      <c r="O23" s="80">
        <f t="shared" si="16"/>
        <v>114878.62564102566</v>
      </c>
      <c r="P23" s="26"/>
      <c r="Q23" s="67"/>
    </row>
    <row r="25" spans="1:17" ht="15.75" thickBot="1" x14ac:dyDescent="0.3"/>
    <row r="26" spans="1:17" ht="15.75" thickBot="1" x14ac:dyDescent="0.3">
      <c r="C26" s="105" t="s">
        <v>69</v>
      </c>
      <c r="D26" s="106">
        <v>14</v>
      </c>
      <c r="E26" s="106">
        <v>15</v>
      </c>
      <c r="F26" s="106">
        <v>16</v>
      </c>
      <c r="G26" s="106">
        <v>17</v>
      </c>
      <c r="H26" s="106">
        <v>18</v>
      </c>
      <c r="I26" s="106">
        <v>19</v>
      </c>
      <c r="J26" s="106">
        <v>20</v>
      </c>
      <c r="K26" s="106">
        <v>21</v>
      </c>
      <c r="L26" s="106">
        <v>22</v>
      </c>
      <c r="M26" s="106">
        <v>23</v>
      </c>
      <c r="N26" s="106">
        <v>24</v>
      </c>
      <c r="O26" s="106">
        <v>25</v>
      </c>
      <c r="P26" s="110">
        <v>26</v>
      </c>
    </row>
    <row r="27" spans="1:17" x14ac:dyDescent="0.25">
      <c r="C27" s="75" t="s">
        <v>73</v>
      </c>
      <c r="D27" s="141">
        <v>71250</v>
      </c>
      <c r="E27" s="141">
        <v>16250</v>
      </c>
      <c r="F27" s="141">
        <v>60000</v>
      </c>
      <c r="G27" s="141">
        <v>50000</v>
      </c>
      <c r="H27" s="141">
        <v>62500</v>
      </c>
      <c r="I27" s="141">
        <v>25000</v>
      </c>
      <c r="J27" s="141">
        <v>30000</v>
      </c>
      <c r="K27" s="141">
        <v>70000</v>
      </c>
      <c r="L27" s="141">
        <v>68750</v>
      </c>
      <c r="M27" s="141">
        <v>75000</v>
      </c>
      <c r="N27" s="141">
        <v>75000</v>
      </c>
      <c r="O27" s="141">
        <v>75000</v>
      </c>
      <c r="P27" s="178">
        <v>75000</v>
      </c>
    </row>
    <row r="28" spans="1:17" x14ac:dyDescent="0.25">
      <c r="C28" s="109" t="s">
        <v>63</v>
      </c>
      <c r="D28" s="112">
        <v>14</v>
      </c>
      <c r="E28" s="112">
        <v>15</v>
      </c>
      <c r="F28" s="112">
        <v>16</v>
      </c>
      <c r="G28" s="112">
        <v>17</v>
      </c>
      <c r="H28" s="112">
        <v>18</v>
      </c>
      <c r="I28" s="112">
        <v>19</v>
      </c>
      <c r="J28" s="112">
        <v>20</v>
      </c>
      <c r="K28" s="112">
        <v>21</v>
      </c>
      <c r="L28" s="112">
        <v>22</v>
      </c>
      <c r="M28" s="112">
        <v>23</v>
      </c>
      <c r="N28" s="112">
        <v>24</v>
      </c>
      <c r="O28" s="112">
        <v>25</v>
      </c>
      <c r="P28" s="114">
        <v>26</v>
      </c>
    </row>
    <row r="29" spans="1:17" ht="15.75" thickBot="1" x14ac:dyDescent="0.3">
      <c r="C29" s="81" t="s">
        <v>17</v>
      </c>
      <c r="D29" s="82">
        <f>IF(D27&lt;(3081600/52),D27*5.6%,(3081600/52)*5.6%)</f>
        <v>3318.6461538461535</v>
      </c>
      <c r="E29" s="82">
        <f t="shared" ref="E29:P29" si="17">IF(E27&lt;(3081600/52),E27*5.6%,(3081600/52)*5.6%)</f>
        <v>909.99999999999989</v>
      </c>
      <c r="F29" s="82">
        <f t="shared" si="17"/>
        <v>3318.6461538461535</v>
      </c>
      <c r="G29" s="82">
        <f t="shared" si="17"/>
        <v>2799.9999999999995</v>
      </c>
      <c r="H29" s="82">
        <f t="shared" si="17"/>
        <v>3318.6461538461535</v>
      </c>
      <c r="I29" s="82">
        <f t="shared" si="17"/>
        <v>1399.9999999999998</v>
      </c>
      <c r="J29" s="82">
        <f t="shared" si="17"/>
        <v>1679.9999999999998</v>
      </c>
      <c r="K29" s="82">
        <f t="shared" si="17"/>
        <v>3318.6461538461535</v>
      </c>
      <c r="L29" s="82">
        <f t="shared" si="17"/>
        <v>3318.6461538461535</v>
      </c>
      <c r="M29" s="82">
        <f t="shared" si="17"/>
        <v>3318.6461538461535</v>
      </c>
      <c r="N29" s="82">
        <f t="shared" si="17"/>
        <v>3318.6461538461535</v>
      </c>
      <c r="O29" s="82">
        <f t="shared" si="17"/>
        <v>3318.6461538461535</v>
      </c>
      <c r="P29" s="82">
        <f t="shared" si="17"/>
        <v>3318.6461538461535</v>
      </c>
    </row>
    <row r="30" spans="1:17" ht="15.75" hidden="1" thickBot="1" x14ac:dyDescent="0.3">
      <c r="C30" s="81" t="s">
        <v>55</v>
      </c>
      <c r="D30" s="82">
        <f t="shared" ref="D30:O30" si="18">IF(D27&gt;180000,D27/3,65000)</f>
        <v>65000</v>
      </c>
      <c r="E30" s="82">
        <f t="shared" si="18"/>
        <v>65000</v>
      </c>
      <c r="F30" s="82">
        <f t="shared" si="18"/>
        <v>65000</v>
      </c>
      <c r="G30" s="82">
        <f t="shared" si="18"/>
        <v>65000</v>
      </c>
      <c r="H30" s="82">
        <f t="shared" si="18"/>
        <v>65000</v>
      </c>
      <c r="I30" s="82">
        <f t="shared" si="18"/>
        <v>65000</v>
      </c>
      <c r="J30" s="82">
        <f t="shared" si="18"/>
        <v>65000</v>
      </c>
      <c r="K30" s="82">
        <f t="shared" si="18"/>
        <v>65000</v>
      </c>
      <c r="L30" s="82">
        <f t="shared" si="18"/>
        <v>65000</v>
      </c>
      <c r="M30" s="82">
        <f t="shared" si="18"/>
        <v>65000</v>
      </c>
      <c r="N30" s="82">
        <f t="shared" si="18"/>
        <v>65000</v>
      </c>
      <c r="O30" s="82">
        <f t="shared" si="18"/>
        <v>65000</v>
      </c>
      <c r="P30" s="98"/>
    </row>
    <row r="31" spans="1:17" hidden="1" x14ac:dyDescent="0.25">
      <c r="C31" s="76" t="s">
        <v>56</v>
      </c>
      <c r="D31" s="66">
        <f t="shared" ref="D31:O31" si="19">IF((D27-(D29+D30))&lt;0,0,(D27-(D29+D30)))</f>
        <v>2931.353846153841</v>
      </c>
      <c r="E31" s="66">
        <f t="shared" si="19"/>
        <v>0</v>
      </c>
      <c r="F31" s="66">
        <f t="shared" si="19"/>
        <v>0</v>
      </c>
      <c r="G31" s="66">
        <f t="shared" si="19"/>
        <v>0</v>
      </c>
      <c r="H31" s="66">
        <f t="shared" si="19"/>
        <v>0</v>
      </c>
      <c r="I31" s="66">
        <f t="shared" si="19"/>
        <v>0</v>
      </c>
      <c r="J31" s="66">
        <f t="shared" si="19"/>
        <v>0</v>
      </c>
      <c r="K31" s="66">
        <f t="shared" si="19"/>
        <v>1681.353846153841</v>
      </c>
      <c r="L31" s="66">
        <f t="shared" si="19"/>
        <v>431.353846153841</v>
      </c>
      <c r="M31" s="66">
        <f t="shared" si="19"/>
        <v>6681.353846153841</v>
      </c>
      <c r="N31" s="66">
        <f t="shared" si="19"/>
        <v>6681.353846153841</v>
      </c>
      <c r="O31" s="66">
        <f t="shared" si="19"/>
        <v>6681.353846153841</v>
      </c>
      <c r="P31" s="98"/>
    </row>
    <row r="32" spans="1:17" hidden="1" x14ac:dyDescent="0.25">
      <c r="C32" s="76" t="s">
        <v>64</v>
      </c>
      <c r="D32" s="66">
        <f>IF(D31&lt;120000,D31*0.28,120000*0.28)</f>
        <v>820.77907692307554</v>
      </c>
      <c r="E32" s="66">
        <f t="shared" ref="E32:O32" si="20">IF(E31&lt;120000,E31*0.28,120000*0.28)</f>
        <v>0</v>
      </c>
      <c r="F32" s="66">
        <f t="shared" si="20"/>
        <v>0</v>
      </c>
      <c r="G32" s="66">
        <f t="shared" si="20"/>
        <v>0</v>
      </c>
      <c r="H32" s="66">
        <f t="shared" si="20"/>
        <v>0</v>
      </c>
      <c r="I32" s="66">
        <f t="shared" si="20"/>
        <v>0</v>
      </c>
      <c r="J32" s="66">
        <f t="shared" si="20"/>
        <v>0</v>
      </c>
      <c r="K32" s="66">
        <f t="shared" si="20"/>
        <v>470.77907692307554</v>
      </c>
      <c r="L32" s="66">
        <f t="shared" si="20"/>
        <v>120.77907692307549</v>
      </c>
      <c r="M32" s="66">
        <f t="shared" si="20"/>
        <v>1870.7790769230758</v>
      </c>
      <c r="N32" s="66">
        <f t="shared" si="20"/>
        <v>1870.7790769230758</v>
      </c>
      <c r="O32" s="66">
        <f t="shared" si="20"/>
        <v>1870.7790769230758</v>
      </c>
      <c r="P32" s="98"/>
    </row>
    <row r="33" spans="3:20" hidden="1" x14ac:dyDescent="0.25">
      <c r="C33" s="76" t="s">
        <v>65</v>
      </c>
      <c r="D33" s="66">
        <f>IF(D31-120000&gt;0,(D31-120000)*40%,0)</f>
        <v>0</v>
      </c>
      <c r="E33" s="66">
        <f t="shared" ref="E33:O33" si="21">IF(E31-120000&gt;0,(E31-120000)*40%,0)</f>
        <v>0</v>
      </c>
      <c r="F33" s="66">
        <f t="shared" si="21"/>
        <v>0</v>
      </c>
      <c r="G33" s="66">
        <f t="shared" si="21"/>
        <v>0</v>
      </c>
      <c r="H33" s="66">
        <f t="shared" si="21"/>
        <v>0</v>
      </c>
      <c r="I33" s="66">
        <f t="shared" si="21"/>
        <v>0</v>
      </c>
      <c r="J33" s="66">
        <f t="shared" si="21"/>
        <v>0</v>
      </c>
      <c r="K33" s="66">
        <f t="shared" si="21"/>
        <v>0</v>
      </c>
      <c r="L33" s="66">
        <f t="shared" si="21"/>
        <v>0</v>
      </c>
      <c r="M33" s="66">
        <f t="shared" si="21"/>
        <v>0</v>
      </c>
      <c r="N33" s="66">
        <f t="shared" si="21"/>
        <v>0</v>
      </c>
      <c r="O33" s="66">
        <f t="shared" si="21"/>
        <v>0</v>
      </c>
      <c r="P33" s="98"/>
    </row>
    <row r="34" spans="3:20" hidden="1" x14ac:dyDescent="0.25">
      <c r="C34" s="77" t="s">
        <v>19</v>
      </c>
      <c r="D34" s="67">
        <f t="shared" ref="D34:O34" si="22">D32+D33</f>
        <v>820.77907692307554</v>
      </c>
      <c r="E34" s="67">
        <f t="shared" si="22"/>
        <v>0</v>
      </c>
      <c r="F34" s="67">
        <f t="shared" si="22"/>
        <v>0</v>
      </c>
      <c r="G34" s="67">
        <f t="shared" si="22"/>
        <v>0</v>
      </c>
      <c r="H34" s="67">
        <f t="shared" si="22"/>
        <v>0</v>
      </c>
      <c r="I34" s="67">
        <f t="shared" si="22"/>
        <v>0</v>
      </c>
      <c r="J34" s="67">
        <f t="shared" si="22"/>
        <v>0</v>
      </c>
      <c r="K34" s="67">
        <f t="shared" si="22"/>
        <v>470.77907692307554</v>
      </c>
      <c r="L34" s="67">
        <f t="shared" si="22"/>
        <v>120.77907692307549</v>
      </c>
      <c r="M34" s="67">
        <f t="shared" si="22"/>
        <v>1870.7790769230758</v>
      </c>
      <c r="N34" s="67">
        <f t="shared" si="22"/>
        <v>1870.7790769230758</v>
      </c>
      <c r="O34" s="67">
        <f t="shared" si="22"/>
        <v>1870.7790769230758</v>
      </c>
      <c r="P34" s="98"/>
    </row>
    <row r="35" spans="3:20" hidden="1" x14ac:dyDescent="0.25">
      <c r="C35" s="76" t="s">
        <v>61</v>
      </c>
      <c r="D35" s="68">
        <f>D34</f>
        <v>820.77907692307554</v>
      </c>
      <c r="E35" s="68">
        <f>D35+E34</f>
        <v>820.77907692307554</v>
      </c>
      <c r="F35" s="68">
        <f t="shared" ref="F35:O35" si="23">E35+F34</f>
        <v>820.77907692307554</v>
      </c>
      <c r="G35" s="68">
        <f t="shared" si="23"/>
        <v>820.77907692307554</v>
      </c>
      <c r="H35" s="68">
        <f t="shared" si="23"/>
        <v>820.77907692307554</v>
      </c>
      <c r="I35" s="68">
        <f t="shared" si="23"/>
        <v>820.77907692307554</v>
      </c>
      <c r="J35" s="68">
        <f t="shared" si="23"/>
        <v>820.77907692307554</v>
      </c>
      <c r="K35" s="68">
        <f t="shared" si="23"/>
        <v>1291.5581538461511</v>
      </c>
      <c r="L35" s="68">
        <f t="shared" si="23"/>
        <v>1412.3372307692266</v>
      </c>
      <c r="M35" s="68">
        <f t="shared" si="23"/>
        <v>3283.1163076923021</v>
      </c>
      <c r="N35" s="68">
        <f t="shared" si="23"/>
        <v>5153.8953846153781</v>
      </c>
      <c r="O35" s="93">
        <f t="shared" si="23"/>
        <v>7024.6744615384541</v>
      </c>
      <c r="P35" s="98"/>
    </row>
    <row r="36" spans="3:20" ht="15.75" thickBot="1" x14ac:dyDescent="0.3">
      <c r="C36" s="78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98"/>
    </row>
    <row r="37" spans="3:20" x14ac:dyDescent="0.25">
      <c r="C37" s="108" t="s">
        <v>66</v>
      </c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1"/>
      <c r="T37" s="116"/>
    </row>
    <row r="38" spans="3:20" x14ac:dyDescent="0.25">
      <c r="C38" s="76" t="s">
        <v>57</v>
      </c>
      <c r="D38" s="83">
        <f>P14+D27</f>
        <v>788012</v>
      </c>
      <c r="E38" s="83">
        <f t="shared" ref="E38:P38" si="24">D38+E27</f>
        <v>804262</v>
      </c>
      <c r="F38" s="83">
        <f t="shared" si="24"/>
        <v>864262</v>
      </c>
      <c r="G38" s="83">
        <f t="shared" si="24"/>
        <v>914262</v>
      </c>
      <c r="H38" s="83">
        <f t="shared" si="24"/>
        <v>976762</v>
      </c>
      <c r="I38" s="83">
        <f t="shared" si="24"/>
        <v>1001762</v>
      </c>
      <c r="J38" s="83">
        <f t="shared" si="24"/>
        <v>1031762</v>
      </c>
      <c r="K38" s="83">
        <f t="shared" si="24"/>
        <v>1101762</v>
      </c>
      <c r="L38" s="83">
        <f t="shared" si="24"/>
        <v>1170512</v>
      </c>
      <c r="M38" s="83">
        <f t="shared" si="24"/>
        <v>1245512</v>
      </c>
      <c r="N38" s="83">
        <f t="shared" si="24"/>
        <v>1320512</v>
      </c>
      <c r="O38" s="66">
        <f t="shared" si="24"/>
        <v>1395512</v>
      </c>
      <c r="P38" s="99">
        <f t="shared" si="24"/>
        <v>1470512</v>
      </c>
    </row>
    <row r="39" spans="3:20" x14ac:dyDescent="0.25">
      <c r="C39" s="76" t="s">
        <v>58</v>
      </c>
      <c r="D39" s="83">
        <f>P15+D29</f>
        <v>39282.06153846153</v>
      </c>
      <c r="E39" s="83">
        <f t="shared" ref="E39:P39" si="25">D39+E29</f>
        <v>40192.06153846153</v>
      </c>
      <c r="F39" s="83">
        <f t="shared" si="25"/>
        <v>43510.707692307682</v>
      </c>
      <c r="G39" s="83">
        <f t="shared" si="25"/>
        <v>46310.707692307682</v>
      </c>
      <c r="H39" s="83">
        <f t="shared" si="25"/>
        <v>49629.353846153834</v>
      </c>
      <c r="I39" s="83">
        <f t="shared" si="25"/>
        <v>51029.353846153834</v>
      </c>
      <c r="J39" s="83">
        <f t="shared" si="25"/>
        <v>52709.353846153834</v>
      </c>
      <c r="K39" s="83">
        <f t="shared" si="25"/>
        <v>56027.999999999985</v>
      </c>
      <c r="L39" s="83">
        <f t="shared" si="25"/>
        <v>59346.646153846137</v>
      </c>
      <c r="M39" s="83">
        <f t="shared" si="25"/>
        <v>62665.292307692289</v>
      </c>
      <c r="N39" s="83">
        <f t="shared" si="25"/>
        <v>65983.938461538448</v>
      </c>
      <c r="O39" s="66">
        <f t="shared" si="25"/>
        <v>69302.584615384607</v>
      </c>
      <c r="P39" s="99">
        <f t="shared" si="25"/>
        <v>72621.230769230766</v>
      </c>
    </row>
    <row r="40" spans="3:20" x14ac:dyDescent="0.25">
      <c r="C40" s="104" t="s">
        <v>74</v>
      </c>
      <c r="D40" s="83">
        <f>IF(D38&gt;(780000/52),D38/3,(780000/52)*D28)</f>
        <v>262670.66666666669</v>
      </c>
      <c r="E40" s="83">
        <f t="shared" ref="E40:P40" si="26">IF(E38&gt;(780000/52),E38/3,(780000/52)*E28)</f>
        <v>268087.33333333331</v>
      </c>
      <c r="F40" s="83">
        <f t="shared" si="26"/>
        <v>288087.33333333331</v>
      </c>
      <c r="G40" s="83">
        <f t="shared" si="26"/>
        <v>304754</v>
      </c>
      <c r="H40" s="83">
        <f t="shared" si="26"/>
        <v>325587.33333333331</v>
      </c>
      <c r="I40" s="83">
        <f t="shared" si="26"/>
        <v>333920.66666666669</v>
      </c>
      <c r="J40" s="83">
        <f t="shared" si="26"/>
        <v>343920.66666666669</v>
      </c>
      <c r="K40" s="83">
        <f t="shared" si="26"/>
        <v>367254</v>
      </c>
      <c r="L40" s="83">
        <f t="shared" si="26"/>
        <v>390170.66666666669</v>
      </c>
      <c r="M40" s="83">
        <f t="shared" si="26"/>
        <v>415170.66666666669</v>
      </c>
      <c r="N40" s="83">
        <f t="shared" si="26"/>
        <v>440170.66666666669</v>
      </c>
      <c r="O40" s="97">
        <f t="shared" si="26"/>
        <v>465170.66666666669</v>
      </c>
      <c r="P40" s="99">
        <f t="shared" si="26"/>
        <v>490170.66666666669</v>
      </c>
    </row>
    <row r="41" spans="3:20" x14ac:dyDescent="0.25">
      <c r="C41" s="76" t="s">
        <v>56</v>
      </c>
      <c r="D41" s="83">
        <f t="shared" ref="D41:P41" si="27">IF((D38-(D39+D40))&lt;0,0,(D38-(D39+D40)))</f>
        <v>486059.27179487178</v>
      </c>
      <c r="E41" s="83">
        <f t="shared" si="27"/>
        <v>495982.60512820515</v>
      </c>
      <c r="F41" s="83">
        <f t="shared" si="27"/>
        <v>532663.95897435897</v>
      </c>
      <c r="G41" s="83">
        <f t="shared" si="27"/>
        <v>563197.29230769235</v>
      </c>
      <c r="H41" s="83">
        <f t="shared" si="27"/>
        <v>601545.3128205128</v>
      </c>
      <c r="I41" s="83">
        <f t="shared" si="27"/>
        <v>616811.97948717955</v>
      </c>
      <c r="J41" s="83">
        <f t="shared" si="27"/>
        <v>635131.97948717955</v>
      </c>
      <c r="K41" s="83">
        <f t="shared" si="27"/>
        <v>678480</v>
      </c>
      <c r="L41" s="83">
        <f t="shared" si="27"/>
        <v>720994.6871794872</v>
      </c>
      <c r="M41" s="83">
        <f t="shared" si="27"/>
        <v>767676.04102564103</v>
      </c>
      <c r="N41" s="83">
        <f t="shared" si="27"/>
        <v>814357.39487179485</v>
      </c>
      <c r="O41" s="97">
        <f t="shared" si="27"/>
        <v>861038.74871794868</v>
      </c>
      <c r="P41" s="99">
        <f t="shared" si="27"/>
        <v>907720.1025641025</v>
      </c>
    </row>
    <row r="42" spans="3:20" x14ac:dyDescent="0.25">
      <c r="C42" s="76" t="s">
        <v>59</v>
      </c>
      <c r="D42" s="83">
        <f>IF(D41&lt;=((1560000/52)*D28),D41*0.28,(1560000/52)*D28*0.28)</f>
        <v>117600.00000000001</v>
      </c>
      <c r="E42" s="83">
        <f t="shared" ref="E42:P42" si="28">IF(E41&lt;=((1560000/52)*E28),E41*0.28,(1560000/52)*E28*0.28)</f>
        <v>126000.00000000001</v>
      </c>
      <c r="F42" s="83">
        <f t="shared" si="28"/>
        <v>134400</v>
      </c>
      <c r="G42" s="83">
        <f t="shared" si="28"/>
        <v>142800</v>
      </c>
      <c r="H42" s="83">
        <f t="shared" si="28"/>
        <v>151200</v>
      </c>
      <c r="I42" s="83">
        <f t="shared" si="28"/>
        <v>159600.00000000003</v>
      </c>
      <c r="J42" s="83">
        <f t="shared" si="28"/>
        <v>168000.00000000003</v>
      </c>
      <c r="K42" s="83">
        <f t="shared" si="28"/>
        <v>176400.00000000003</v>
      </c>
      <c r="L42" s="83">
        <f t="shared" si="28"/>
        <v>184800.00000000003</v>
      </c>
      <c r="M42" s="83">
        <f t="shared" si="28"/>
        <v>193200.00000000003</v>
      </c>
      <c r="N42" s="83">
        <f t="shared" si="28"/>
        <v>201600.00000000003</v>
      </c>
      <c r="O42" s="83">
        <f t="shared" si="28"/>
        <v>210000.00000000003</v>
      </c>
      <c r="P42" s="103">
        <f t="shared" si="28"/>
        <v>218400.00000000003</v>
      </c>
    </row>
    <row r="43" spans="3:20" x14ac:dyDescent="0.25">
      <c r="C43" s="85" t="s">
        <v>60</v>
      </c>
      <c r="D43" s="86">
        <f>IF((D41-((1560000/52)*D28))&gt;0,(D41-(1560000/52)*D28)*40%,0)</f>
        <v>26423.708717948713</v>
      </c>
      <c r="E43" s="86">
        <f t="shared" ref="E43:P43" si="29">IF((E41-((1560000/52)*E28))&gt;0,(E41-(1560000/52)*E28)*40%,0)</f>
        <v>18393.04205128206</v>
      </c>
      <c r="F43" s="86">
        <f t="shared" si="29"/>
        <v>21065.58358974359</v>
      </c>
      <c r="G43" s="86">
        <f t="shared" si="29"/>
        <v>21278.91692307694</v>
      </c>
      <c r="H43" s="86">
        <f t="shared" si="29"/>
        <v>24618.125128205123</v>
      </c>
      <c r="I43" s="86">
        <f t="shared" si="29"/>
        <v>18724.79179487182</v>
      </c>
      <c r="J43" s="86">
        <f t="shared" si="29"/>
        <v>14052.791794871819</v>
      </c>
      <c r="K43" s="86">
        <f t="shared" si="29"/>
        <v>19392</v>
      </c>
      <c r="L43" s="86">
        <f t="shared" si="29"/>
        <v>24397.87487179488</v>
      </c>
      <c r="M43" s="86">
        <f t="shared" si="29"/>
        <v>31070.41641025641</v>
      </c>
      <c r="N43" s="86">
        <f t="shared" si="29"/>
        <v>37742.957948717944</v>
      </c>
      <c r="O43" s="86">
        <f t="shared" si="29"/>
        <v>44415.499487179477</v>
      </c>
      <c r="P43" s="87">
        <f t="shared" si="29"/>
        <v>51088.041025641003</v>
      </c>
    </row>
    <row r="44" spans="3:20" x14ac:dyDescent="0.25">
      <c r="C44" s="88" t="s">
        <v>67</v>
      </c>
      <c r="D44" s="89">
        <f>D42+D43</f>
        <v>144023.70871794873</v>
      </c>
      <c r="E44" s="89">
        <f>E42+E43</f>
        <v>144393.04205128207</v>
      </c>
      <c r="F44" s="89">
        <f t="shared" ref="F44:P44" si="30">F42+F43</f>
        <v>155465.58358974359</v>
      </c>
      <c r="G44" s="89">
        <f t="shared" si="30"/>
        <v>164078.91692307693</v>
      </c>
      <c r="H44" s="89">
        <f t="shared" si="30"/>
        <v>175818.12512820511</v>
      </c>
      <c r="I44" s="89">
        <f t="shared" si="30"/>
        <v>178324.79179487185</v>
      </c>
      <c r="J44" s="89">
        <f t="shared" si="30"/>
        <v>182052.79179487185</v>
      </c>
      <c r="K44" s="89">
        <f t="shared" si="30"/>
        <v>195792.00000000003</v>
      </c>
      <c r="L44" s="89">
        <f t="shared" si="30"/>
        <v>209197.87487179492</v>
      </c>
      <c r="M44" s="89">
        <f t="shared" si="30"/>
        <v>224270.41641025644</v>
      </c>
      <c r="N44" s="89">
        <f t="shared" si="30"/>
        <v>239342.95794871799</v>
      </c>
      <c r="O44" s="94">
        <f t="shared" si="30"/>
        <v>254415.49948717951</v>
      </c>
      <c r="P44" s="101">
        <f t="shared" si="30"/>
        <v>269488.04102564103</v>
      </c>
    </row>
    <row r="45" spans="3:20" x14ac:dyDescent="0.25">
      <c r="C45" s="90" t="s">
        <v>71</v>
      </c>
      <c r="D45" s="91">
        <f>P20</f>
        <v>129951.16717948719</v>
      </c>
      <c r="E45" s="91">
        <f>D44</f>
        <v>144023.70871794873</v>
      </c>
      <c r="F45" s="91">
        <f t="shared" ref="F45:P45" si="31">E44</f>
        <v>144393.04205128207</v>
      </c>
      <c r="G45" s="91">
        <f t="shared" si="31"/>
        <v>155465.58358974359</v>
      </c>
      <c r="H45" s="91">
        <f t="shared" si="31"/>
        <v>164078.91692307693</v>
      </c>
      <c r="I45" s="91">
        <f t="shared" si="31"/>
        <v>175818.12512820511</v>
      </c>
      <c r="J45" s="91">
        <f t="shared" si="31"/>
        <v>178324.79179487185</v>
      </c>
      <c r="K45" s="91">
        <f t="shared" si="31"/>
        <v>182052.79179487185</v>
      </c>
      <c r="L45" s="91">
        <f t="shared" si="31"/>
        <v>195792.00000000003</v>
      </c>
      <c r="M45" s="91">
        <f t="shared" si="31"/>
        <v>209197.87487179492</v>
      </c>
      <c r="N45" s="91">
        <f t="shared" si="31"/>
        <v>224270.41641025644</v>
      </c>
      <c r="O45" s="95">
        <f t="shared" si="31"/>
        <v>239342.95794871799</v>
      </c>
      <c r="P45" s="100">
        <f t="shared" si="31"/>
        <v>254415.49948717951</v>
      </c>
    </row>
    <row r="46" spans="3:20" ht="15.75" thickBot="1" x14ac:dyDescent="0.3">
      <c r="C46" s="92" t="s">
        <v>70</v>
      </c>
      <c r="D46" s="84">
        <f>D44-D45</f>
        <v>14072.541538461533</v>
      </c>
      <c r="E46" s="84">
        <f>E44-E45</f>
        <v>369.33333333334303</v>
      </c>
      <c r="F46" s="84">
        <f t="shared" ref="F46:P46" si="32">F44-F45</f>
        <v>11072.541538461519</v>
      </c>
      <c r="G46" s="84">
        <f t="shared" si="32"/>
        <v>8613.333333333343</v>
      </c>
      <c r="H46" s="84">
        <f t="shared" si="32"/>
        <v>11739.208205128176</v>
      </c>
      <c r="I46" s="84">
        <f t="shared" si="32"/>
        <v>2506.6666666667443</v>
      </c>
      <c r="J46" s="84">
        <f t="shared" si="32"/>
        <v>3728</v>
      </c>
      <c r="K46" s="84">
        <f t="shared" si="32"/>
        <v>13739.208205128176</v>
      </c>
      <c r="L46" s="84">
        <f t="shared" si="32"/>
        <v>13405.874871794891</v>
      </c>
      <c r="M46" s="84">
        <f t="shared" si="32"/>
        <v>15072.541538461519</v>
      </c>
      <c r="N46" s="84">
        <f t="shared" si="32"/>
        <v>15072.541538461548</v>
      </c>
      <c r="O46" s="96">
        <f t="shared" si="32"/>
        <v>15072.541538461519</v>
      </c>
      <c r="P46" s="102">
        <f t="shared" si="32"/>
        <v>15072.541538461519</v>
      </c>
    </row>
    <row r="48" spans="3:20" ht="15.75" thickBot="1" x14ac:dyDescent="0.3"/>
    <row r="49" spans="3:16" ht="15.75" thickBot="1" x14ac:dyDescent="0.3">
      <c r="C49" s="105" t="s">
        <v>69</v>
      </c>
      <c r="D49" s="106">
        <v>27</v>
      </c>
      <c r="E49" s="106">
        <v>28</v>
      </c>
      <c r="F49" s="106">
        <v>29</v>
      </c>
      <c r="G49" s="106">
        <v>30</v>
      </c>
      <c r="H49" s="106">
        <v>31</v>
      </c>
      <c r="I49" s="106">
        <v>32</v>
      </c>
      <c r="J49" s="106">
        <v>33</v>
      </c>
      <c r="K49" s="106">
        <v>34</v>
      </c>
      <c r="L49" s="106">
        <v>35</v>
      </c>
      <c r="M49" s="106">
        <v>36</v>
      </c>
      <c r="N49" s="106">
        <v>37</v>
      </c>
      <c r="O49" s="106">
        <v>38</v>
      </c>
      <c r="P49" s="107">
        <v>39</v>
      </c>
    </row>
    <row r="50" spans="3:16" x14ac:dyDescent="0.25">
      <c r="C50" s="75" t="s">
        <v>73</v>
      </c>
      <c r="D50" s="141">
        <f>285000/4</f>
        <v>71250</v>
      </c>
      <c r="E50" s="141">
        <f>65000/4</f>
        <v>16250</v>
      </c>
      <c r="F50" s="141">
        <v>25000</v>
      </c>
      <c r="G50" s="141">
        <f>200000/4</f>
        <v>50000</v>
      </c>
      <c r="H50" s="141">
        <f>250000/4</f>
        <v>62500</v>
      </c>
      <c r="I50" s="141">
        <v>45000</v>
      </c>
      <c r="J50" s="141">
        <f>280000/4</f>
        <v>70000</v>
      </c>
      <c r="K50" s="141">
        <v>55000</v>
      </c>
      <c r="L50" s="141">
        <f>275000/4</f>
        <v>68750</v>
      </c>
      <c r="M50" s="141">
        <v>40000</v>
      </c>
      <c r="N50" s="141">
        <f>300000/4</f>
        <v>75000</v>
      </c>
      <c r="O50" s="141">
        <f>300000/4</f>
        <v>75000</v>
      </c>
      <c r="P50" s="178">
        <f>300000/4</f>
        <v>75000</v>
      </c>
    </row>
    <row r="51" spans="3:16" x14ac:dyDescent="0.25">
      <c r="C51" s="109" t="s">
        <v>63</v>
      </c>
      <c r="D51" s="112">
        <v>27</v>
      </c>
      <c r="E51" s="112">
        <v>28</v>
      </c>
      <c r="F51" s="112">
        <v>29</v>
      </c>
      <c r="G51" s="112">
        <v>30</v>
      </c>
      <c r="H51" s="112">
        <v>31</v>
      </c>
      <c r="I51" s="112">
        <v>32</v>
      </c>
      <c r="J51" s="112">
        <v>33</v>
      </c>
      <c r="K51" s="112">
        <v>34</v>
      </c>
      <c r="L51" s="112">
        <v>35</v>
      </c>
      <c r="M51" s="112">
        <v>36</v>
      </c>
      <c r="N51" s="112">
        <v>37</v>
      </c>
      <c r="O51" s="112">
        <v>38</v>
      </c>
      <c r="P51" s="115">
        <v>39</v>
      </c>
    </row>
    <row r="52" spans="3:16" ht="15.75" thickBot="1" x14ac:dyDescent="0.3">
      <c r="C52" s="81" t="s">
        <v>17</v>
      </c>
      <c r="D52" s="82">
        <f>IF(D50&lt;(3081600/52),D50*5.6%,(3081600/52)*5.6%)</f>
        <v>3318.6461538461535</v>
      </c>
      <c r="E52" s="82">
        <f t="shared" ref="E52:P52" si="33">IF(E50&lt;(3081600/52),E50*5.6%,(3081600/52)*5.6%)</f>
        <v>909.99999999999989</v>
      </c>
      <c r="F52" s="82">
        <f t="shared" si="33"/>
        <v>1399.9999999999998</v>
      </c>
      <c r="G52" s="82">
        <f t="shared" si="33"/>
        <v>2799.9999999999995</v>
      </c>
      <c r="H52" s="82">
        <f t="shared" si="33"/>
        <v>3318.6461538461535</v>
      </c>
      <c r="I52" s="82">
        <f t="shared" si="33"/>
        <v>2519.9999999999995</v>
      </c>
      <c r="J52" s="82">
        <f t="shared" si="33"/>
        <v>3318.6461538461535</v>
      </c>
      <c r="K52" s="82">
        <f t="shared" si="33"/>
        <v>3079.9999999999995</v>
      </c>
      <c r="L52" s="82">
        <f t="shared" si="33"/>
        <v>3318.6461538461535</v>
      </c>
      <c r="M52" s="82">
        <f t="shared" si="33"/>
        <v>2239.9999999999995</v>
      </c>
      <c r="N52" s="82">
        <f t="shared" si="33"/>
        <v>3318.6461538461535</v>
      </c>
      <c r="O52" s="82">
        <f t="shared" si="33"/>
        <v>3318.6461538461535</v>
      </c>
      <c r="P52" s="82">
        <f t="shared" si="33"/>
        <v>3318.6461538461535</v>
      </c>
    </row>
    <row r="53" spans="3:16" ht="15.75" hidden="1" thickBot="1" x14ac:dyDescent="0.3">
      <c r="C53" s="81" t="s">
        <v>55</v>
      </c>
      <c r="D53" s="82">
        <f t="shared" ref="D53:O53" si="34">IF(D50&gt;180000,D50/3,65000)</f>
        <v>65000</v>
      </c>
      <c r="E53" s="82">
        <f t="shared" si="34"/>
        <v>65000</v>
      </c>
      <c r="F53" s="82">
        <f t="shared" si="34"/>
        <v>65000</v>
      </c>
      <c r="G53" s="82">
        <f t="shared" si="34"/>
        <v>65000</v>
      </c>
      <c r="H53" s="82">
        <f t="shared" si="34"/>
        <v>65000</v>
      </c>
      <c r="I53" s="82">
        <f t="shared" si="34"/>
        <v>65000</v>
      </c>
      <c r="J53" s="82">
        <f t="shared" si="34"/>
        <v>65000</v>
      </c>
      <c r="K53" s="82">
        <f t="shared" si="34"/>
        <v>65000</v>
      </c>
      <c r="L53" s="82">
        <f t="shared" si="34"/>
        <v>65000</v>
      </c>
      <c r="M53" s="82">
        <f t="shared" si="34"/>
        <v>65000</v>
      </c>
      <c r="N53" s="82">
        <f t="shared" si="34"/>
        <v>65000</v>
      </c>
      <c r="O53" s="82">
        <f t="shared" si="34"/>
        <v>65000</v>
      </c>
      <c r="P53" s="98"/>
    </row>
    <row r="54" spans="3:16" hidden="1" x14ac:dyDescent="0.25">
      <c r="C54" s="76" t="s">
        <v>56</v>
      </c>
      <c r="D54" s="66">
        <f t="shared" ref="D54:O54" si="35">IF((D50-(D52+D53))&lt;0,0,(D50-(D52+D53)))</f>
        <v>2931.353846153841</v>
      </c>
      <c r="E54" s="66">
        <f t="shared" si="35"/>
        <v>0</v>
      </c>
      <c r="F54" s="66">
        <f t="shared" si="35"/>
        <v>0</v>
      </c>
      <c r="G54" s="66">
        <f t="shared" si="35"/>
        <v>0</v>
      </c>
      <c r="H54" s="66">
        <f t="shared" si="35"/>
        <v>0</v>
      </c>
      <c r="I54" s="66">
        <f t="shared" si="35"/>
        <v>0</v>
      </c>
      <c r="J54" s="66">
        <f t="shared" si="35"/>
        <v>1681.353846153841</v>
      </c>
      <c r="K54" s="66">
        <f t="shared" si="35"/>
        <v>0</v>
      </c>
      <c r="L54" s="66">
        <f t="shared" si="35"/>
        <v>431.353846153841</v>
      </c>
      <c r="M54" s="66">
        <f t="shared" si="35"/>
        <v>0</v>
      </c>
      <c r="N54" s="66">
        <f t="shared" si="35"/>
        <v>6681.353846153841</v>
      </c>
      <c r="O54" s="66">
        <f t="shared" si="35"/>
        <v>6681.353846153841</v>
      </c>
      <c r="P54" s="98"/>
    </row>
    <row r="55" spans="3:16" hidden="1" x14ac:dyDescent="0.25">
      <c r="C55" s="76" t="s">
        <v>64</v>
      </c>
      <c r="D55" s="66">
        <f>IF(D54&lt;120000,D54*0.28,120000*0.28)</f>
        <v>820.77907692307554</v>
      </c>
      <c r="E55" s="66">
        <f t="shared" ref="E55:O55" si="36">IF(E54&lt;120000,E54*0.28,120000*0.28)</f>
        <v>0</v>
      </c>
      <c r="F55" s="66">
        <f t="shared" si="36"/>
        <v>0</v>
      </c>
      <c r="G55" s="66">
        <f t="shared" si="36"/>
        <v>0</v>
      </c>
      <c r="H55" s="66">
        <f t="shared" si="36"/>
        <v>0</v>
      </c>
      <c r="I55" s="66">
        <f t="shared" si="36"/>
        <v>0</v>
      </c>
      <c r="J55" s="66">
        <f t="shared" si="36"/>
        <v>470.77907692307554</v>
      </c>
      <c r="K55" s="66">
        <f t="shared" si="36"/>
        <v>0</v>
      </c>
      <c r="L55" s="66">
        <f t="shared" si="36"/>
        <v>120.77907692307549</v>
      </c>
      <c r="M55" s="66">
        <f t="shared" si="36"/>
        <v>0</v>
      </c>
      <c r="N55" s="66">
        <f t="shared" si="36"/>
        <v>1870.7790769230758</v>
      </c>
      <c r="O55" s="66">
        <f t="shared" si="36"/>
        <v>1870.7790769230758</v>
      </c>
      <c r="P55" s="98"/>
    </row>
    <row r="56" spans="3:16" hidden="1" x14ac:dyDescent="0.25">
      <c r="C56" s="76" t="s">
        <v>65</v>
      </c>
      <c r="D56" s="66">
        <f>IF(D54-120000&gt;0,(D54-120000)*40%,0)</f>
        <v>0</v>
      </c>
      <c r="E56" s="66">
        <f t="shared" ref="E56:O56" si="37">IF(E54-120000&gt;0,(E54-120000)*40%,0)</f>
        <v>0</v>
      </c>
      <c r="F56" s="66">
        <f t="shared" si="37"/>
        <v>0</v>
      </c>
      <c r="G56" s="66">
        <f t="shared" si="37"/>
        <v>0</v>
      </c>
      <c r="H56" s="66">
        <f t="shared" si="37"/>
        <v>0</v>
      </c>
      <c r="I56" s="66">
        <f t="shared" si="37"/>
        <v>0</v>
      </c>
      <c r="J56" s="66">
        <f t="shared" si="37"/>
        <v>0</v>
      </c>
      <c r="K56" s="66">
        <f t="shared" si="37"/>
        <v>0</v>
      </c>
      <c r="L56" s="66">
        <f t="shared" si="37"/>
        <v>0</v>
      </c>
      <c r="M56" s="66">
        <f t="shared" si="37"/>
        <v>0</v>
      </c>
      <c r="N56" s="66">
        <f t="shared" si="37"/>
        <v>0</v>
      </c>
      <c r="O56" s="66">
        <f t="shared" si="37"/>
        <v>0</v>
      </c>
      <c r="P56" s="98"/>
    </row>
    <row r="57" spans="3:16" hidden="1" x14ac:dyDescent="0.25">
      <c r="C57" s="77" t="s">
        <v>19</v>
      </c>
      <c r="D57" s="67">
        <f t="shared" ref="D57:O57" si="38">D55+D56</f>
        <v>820.77907692307554</v>
      </c>
      <c r="E57" s="67">
        <f t="shared" si="38"/>
        <v>0</v>
      </c>
      <c r="F57" s="67">
        <f t="shared" si="38"/>
        <v>0</v>
      </c>
      <c r="G57" s="67">
        <f t="shared" si="38"/>
        <v>0</v>
      </c>
      <c r="H57" s="67">
        <f t="shared" si="38"/>
        <v>0</v>
      </c>
      <c r="I57" s="67">
        <f t="shared" si="38"/>
        <v>0</v>
      </c>
      <c r="J57" s="67">
        <f t="shared" si="38"/>
        <v>470.77907692307554</v>
      </c>
      <c r="K57" s="67">
        <f t="shared" si="38"/>
        <v>0</v>
      </c>
      <c r="L57" s="67">
        <f t="shared" si="38"/>
        <v>120.77907692307549</v>
      </c>
      <c r="M57" s="67">
        <f t="shared" si="38"/>
        <v>0</v>
      </c>
      <c r="N57" s="67">
        <f t="shared" si="38"/>
        <v>1870.7790769230758</v>
      </c>
      <c r="O57" s="67">
        <f t="shared" si="38"/>
        <v>1870.7790769230758</v>
      </c>
      <c r="P57" s="98"/>
    </row>
    <row r="58" spans="3:16" hidden="1" x14ac:dyDescent="0.25">
      <c r="C58" s="76" t="s">
        <v>61</v>
      </c>
      <c r="D58" s="68">
        <f>D57</f>
        <v>820.77907692307554</v>
      </c>
      <c r="E58" s="68">
        <f>D58+E57</f>
        <v>820.77907692307554</v>
      </c>
      <c r="F58" s="68">
        <f t="shared" ref="F58" si="39">E58+F57</f>
        <v>820.77907692307554</v>
      </c>
      <c r="G58" s="68">
        <f t="shared" ref="G58" si="40">F58+G57</f>
        <v>820.77907692307554</v>
      </c>
      <c r="H58" s="68">
        <f t="shared" ref="H58" si="41">G58+H57</f>
        <v>820.77907692307554</v>
      </c>
      <c r="I58" s="68">
        <f t="shared" ref="I58" si="42">H58+I57</f>
        <v>820.77907692307554</v>
      </c>
      <c r="J58" s="68">
        <f t="shared" ref="J58" si="43">I58+J57</f>
        <v>1291.5581538461511</v>
      </c>
      <c r="K58" s="68">
        <f t="shared" ref="K58" si="44">J58+K57</f>
        <v>1291.5581538461511</v>
      </c>
      <c r="L58" s="68">
        <f t="shared" ref="L58" si="45">K58+L57</f>
        <v>1412.3372307692266</v>
      </c>
      <c r="M58" s="68">
        <f t="shared" ref="M58" si="46">L58+M57</f>
        <v>1412.3372307692266</v>
      </c>
      <c r="N58" s="68">
        <f t="shared" ref="N58" si="47">M58+N57</f>
        <v>3283.1163076923021</v>
      </c>
      <c r="O58" s="93">
        <f t="shared" ref="O58" si="48">N58+O57</f>
        <v>5153.8953846153781</v>
      </c>
      <c r="P58" s="98"/>
    </row>
    <row r="59" spans="3:16" ht="15.75" thickBot="1" x14ac:dyDescent="0.3">
      <c r="C59" s="78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98"/>
    </row>
    <row r="60" spans="3:16" x14ac:dyDescent="0.25">
      <c r="C60" s="108" t="s">
        <v>66</v>
      </c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1"/>
    </row>
    <row r="61" spans="3:16" x14ac:dyDescent="0.25">
      <c r="C61" s="76" t="s">
        <v>57</v>
      </c>
      <c r="D61" s="83">
        <f>P38+D50</f>
        <v>1541762</v>
      </c>
      <c r="E61" s="83">
        <f t="shared" ref="E61:P61" si="49">D61+E50</f>
        <v>1558012</v>
      </c>
      <c r="F61" s="83">
        <f t="shared" si="49"/>
        <v>1583012</v>
      </c>
      <c r="G61" s="83">
        <f t="shared" si="49"/>
        <v>1633012</v>
      </c>
      <c r="H61" s="83">
        <f t="shared" si="49"/>
        <v>1695512</v>
      </c>
      <c r="I61" s="83">
        <f t="shared" si="49"/>
        <v>1740512</v>
      </c>
      <c r="J61" s="83">
        <f t="shared" si="49"/>
        <v>1810512</v>
      </c>
      <c r="K61" s="83">
        <f t="shared" si="49"/>
        <v>1865512</v>
      </c>
      <c r="L61" s="83">
        <f t="shared" si="49"/>
        <v>1934262</v>
      </c>
      <c r="M61" s="83">
        <f t="shared" si="49"/>
        <v>1974262</v>
      </c>
      <c r="N61" s="83">
        <f t="shared" si="49"/>
        <v>2049262</v>
      </c>
      <c r="O61" s="66">
        <f t="shared" si="49"/>
        <v>2124262</v>
      </c>
      <c r="P61" s="99">
        <f t="shared" si="49"/>
        <v>2199262</v>
      </c>
    </row>
    <row r="62" spans="3:16" x14ac:dyDescent="0.25">
      <c r="C62" s="76" t="s">
        <v>58</v>
      </c>
      <c r="D62" s="83">
        <f>P39+D52</f>
        <v>75939.876923076925</v>
      </c>
      <c r="E62" s="83">
        <f t="shared" ref="E62" si="50">D62+E52</f>
        <v>76849.876923076925</v>
      </c>
      <c r="F62" s="83">
        <f t="shared" ref="F62" si="51">E62+F52</f>
        <v>78249.876923076925</v>
      </c>
      <c r="G62" s="83">
        <f t="shared" ref="G62" si="52">F62+G52</f>
        <v>81049.876923076925</v>
      </c>
      <c r="H62" s="83">
        <f t="shared" ref="H62" si="53">G62+H52</f>
        <v>84368.523076923084</v>
      </c>
      <c r="I62" s="83">
        <f t="shared" ref="I62" si="54">H62+I52</f>
        <v>86888.523076923084</v>
      </c>
      <c r="J62" s="83">
        <f t="shared" ref="J62" si="55">I62+J52</f>
        <v>90207.169230769243</v>
      </c>
      <c r="K62" s="83">
        <f t="shared" ref="K62" si="56">J62+K52</f>
        <v>93287.169230769243</v>
      </c>
      <c r="L62" s="83">
        <f t="shared" ref="L62" si="57">K62+L52</f>
        <v>96605.815384615402</v>
      </c>
      <c r="M62" s="83">
        <f t="shared" ref="M62" si="58">L62+M52</f>
        <v>98845.815384615402</v>
      </c>
      <c r="N62" s="83">
        <f t="shared" ref="N62" si="59">M62+N52</f>
        <v>102164.46153846156</v>
      </c>
      <c r="O62" s="66">
        <f t="shared" ref="O62" si="60">N62+O52</f>
        <v>105483.10769230772</v>
      </c>
      <c r="P62" s="99">
        <f t="shared" ref="P62" si="61">O62+P52</f>
        <v>108801.75384615388</v>
      </c>
    </row>
    <row r="63" spans="3:16" x14ac:dyDescent="0.25">
      <c r="C63" s="104" t="s">
        <v>74</v>
      </c>
      <c r="D63" s="83">
        <f>IF(D61&gt;(780000/52),D61/3,(780000/52)*D51)</f>
        <v>513920.66666666669</v>
      </c>
      <c r="E63" s="83">
        <f t="shared" ref="E63:P63" si="62">IF(E61&gt;(780000/52),E61/3,(780000/52)*E51)</f>
        <v>519337.33333333331</v>
      </c>
      <c r="F63" s="83">
        <f t="shared" si="62"/>
        <v>527670.66666666663</v>
      </c>
      <c r="G63" s="83">
        <f t="shared" si="62"/>
        <v>544337.33333333337</v>
      </c>
      <c r="H63" s="83">
        <f t="shared" si="62"/>
        <v>565170.66666666663</v>
      </c>
      <c r="I63" s="83">
        <f t="shared" si="62"/>
        <v>580170.66666666663</v>
      </c>
      <c r="J63" s="83">
        <f t="shared" si="62"/>
        <v>603504</v>
      </c>
      <c r="K63" s="83">
        <f t="shared" si="62"/>
        <v>621837.33333333337</v>
      </c>
      <c r="L63" s="83">
        <f t="shared" si="62"/>
        <v>644754</v>
      </c>
      <c r="M63" s="83">
        <f t="shared" si="62"/>
        <v>658087.33333333337</v>
      </c>
      <c r="N63" s="83">
        <f t="shared" si="62"/>
        <v>683087.33333333337</v>
      </c>
      <c r="O63" s="83">
        <f t="shared" si="62"/>
        <v>708087.33333333337</v>
      </c>
      <c r="P63" s="103">
        <f t="shared" si="62"/>
        <v>733087.33333333337</v>
      </c>
    </row>
    <row r="64" spans="3:16" x14ac:dyDescent="0.25">
      <c r="C64" s="76" t="s">
        <v>56</v>
      </c>
      <c r="D64" s="83">
        <f>IF((D61-(D62+D63))&lt;0,0,(D61-(D62+D63)))</f>
        <v>951901.45641025645</v>
      </c>
      <c r="E64" s="83">
        <f t="shared" ref="E64:P64" si="63">IF((E61-(E62+E63))&lt;0,0,(E61-(E62+E63)))</f>
        <v>961824.7897435897</v>
      </c>
      <c r="F64" s="83">
        <f t="shared" si="63"/>
        <v>977091.45641025645</v>
      </c>
      <c r="G64" s="83">
        <f t="shared" si="63"/>
        <v>1007624.7897435897</v>
      </c>
      <c r="H64" s="83">
        <f t="shared" si="63"/>
        <v>1045972.8102564103</v>
      </c>
      <c r="I64" s="83">
        <f t="shared" si="63"/>
        <v>1073452.8102564104</v>
      </c>
      <c r="J64" s="83">
        <f t="shared" si="63"/>
        <v>1116800.8307692306</v>
      </c>
      <c r="K64" s="83">
        <f t="shared" si="63"/>
        <v>1150387.4974358974</v>
      </c>
      <c r="L64" s="83">
        <f t="shared" si="63"/>
        <v>1192902.1846153846</v>
      </c>
      <c r="M64" s="83">
        <f t="shared" si="63"/>
        <v>1217328.8512820513</v>
      </c>
      <c r="N64" s="83">
        <f t="shared" si="63"/>
        <v>1264010.205128205</v>
      </c>
      <c r="O64" s="83">
        <f t="shared" si="63"/>
        <v>1310691.558974359</v>
      </c>
      <c r="P64" s="103">
        <f t="shared" si="63"/>
        <v>1357372.9128205129</v>
      </c>
    </row>
    <row r="65" spans="3:16" x14ac:dyDescent="0.25">
      <c r="C65" s="76" t="s">
        <v>59</v>
      </c>
      <c r="D65" s="83">
        <f>IF(D64&lt;=((1560000/52)* D51),D64*0.28,((1560000/52)*D51*0.28))</f>
        <v>226800.00000000003</v>
      </c>
      <c r="E65" s="83">
        <f t="shared" ref="E65:P65" si="64">IF(E64&lt;=((1560000/52)* E51),E64*0.28,((1560000/52)*E51*0.28))</f>
        <v>235200.00000000003</v>
      </c>
      <c r="F65" s="83">
        <f t="shared" si="64"/>
        <v>243600.00000000003</v>
      </c>
      <c r="G65" s="83">
        <f t="shared" si="64"/>
        <v>252000.00000000003</v>
      </c>
      <c r="H65" s="83">
        <f t="shared" si="64"/>
        <v>260400.00000000003</v>
      </c>
      <c r="I65" s="83">
        <f t="shared" si="64"/>
        <v>268800</v>
      </c>
      <c r="J65" s="83">
        <f t="shared" si="64"/>
        <v>277200</v>
      </c>
      <c r="K65" s="83">
        <f t="shared" si="64"/>
        <v>285600</v>
      </c>
      <c r="L65" s="83">
        <f t="shared" si="64"/>
        <v>294000</v>
      </c>
      <c r="M65" s="83">
        <f t="shared" si="64"/>
        <v>302400</v>
      </c>
      <c r="N65" s="83">
        <f t="shared" si="64"/>
        <v>310800.00000000006</v>
      </c>
      <c r="O65" s="83">
        <f t="shared" si="64"/>
        <v>319200.00000000006</v>
      </c>
      <c r="P65" s="103">
        <f t="shared" si="64"/>
        <v>327600.00000000006</v>
      </c>
    </row>
    <row r="66" spans="3:16" x14ac:dyDescent="0.25">
      <c r="C66" s="85" t="s">
        <v>60</v>
      </c>
      <c r="D66" s="86">
        <f>IF((D64-(1560000/52)*D51)&gt;0,(D64-((1560000/52)*D51))*0.4,0)</f>
        <v>56760.58256410258</v>
      </c>
      <c r="E66" s="86">
        <f t="shared" ref="E66:P66" si="65">IF((E64-(1560000/52)*E51)&gt;0,(E64-((1560000/52)*E51))*0.4,0)</f>
        <v>48729.915897435887</v>
      </c>
      <c r="F66" s="86">
        <f t="shared" si="65"/>
        <v>42836.58256410258</v>
      </c>
      <c r="G66" s="86">
        <f t="shared" si="65"/>
        <v>43049.915897435887</v>
      </c>
      <c r="H66" s="86">
        <f t="shared" si="65"/>
        <v>46389.124102564114</v>
      </c>
      <c r="I66" s="86">
        <f t="shared" si="65"/>
        <v>45381.124102564158</v>
      </c>
      <c r="J66" s="86">
        <f t="shared" si="65"/>
        <v>50720.332307692246</v>
      </c>
      <c r="K66" s="86">
        <f t="shared" si="65"/>
        <v>52154.998974358947</v>
      </c>
      <c r="L66" s="86">
        <f t="shared" si="65"/>
        <v>57160.873846153823</v>
      </c>
      <c r="M66" s="86">
        <f t="shared" si="65"/>
        <v>54931.540512820524</v>
      </c>
      <c r="N66" s="86">
        <f t="shared" si="65"/>
        <v>61604.082051282006</v>
      </c>
      <c r="O66" s="86">
        <f t="shared" si="65"/>
        <v>68276.623589743584</v>
      </c>
      <c r="P66" s="87">
        <f t="shared" si="65"/>
        <v>74949.165128205161</v>
      </c>
    </row>
    <row r="67" spans="3:16" x14ac:dyDescent="0.25">
      <c r="C67" s="88" t="s">
        <v>67</v>
      </c>
      <c r="D67" s="89">
        <f>D65+D66</f>
        <v>283560.5825641026</v>
      </c>
      <c r="E67" s="89">
        <f>E65+E66</f>
        <v>283929.91589743592</v>
      </c>
      <c r="F67" s="89">
        <f t="shared" ref="F67:P67" si="66">F65+F66</f>
        <v>286436.5825641026</v>
      </c>
      <c r="G67" s="89">
        <f t="shared" si="66"/>
        <v>295049.91589743592</v>
      </c>
      <c r="H67" s="89">
        <f t="shared" si="66"/>
        <v>306789.12410256412</v>
      </c>
      <c r="I67" s="89">
        <f t="shared" si="66"/>
        <v>314181.12410256418</v>
      </c>
      <c r="J67" s="89">
        <f t="shared" si="66"/>
        <v>327920.33230769227</v>
      </c>
      <c r="K67" s="89">
        <f t="shared" si="66"/>
        <v>337754.99897435895</v>
      </c>
      <c r="L67" s="89">
        <f t="shared" si="66"/>
        <v>351160.87384615385</v>
      </c>
      <c r="M67" s="89">
        <f t="shared" si="66"/>
        <v>357331.54051282053</v>
      </c>
      <c r="N67" s="89">
        <f t="shared" si="66"/>
        <v>372404.08205128205</v>
      </c>
      <c r="O67" s="94">
        <f t="shared" si="66"/>
        <v>387476.62358974363</v>
      </c>
      <c r="P67" s="101">
        <f t="shared" si="66"/>
        <v>402549.1651282052</v>
      </c>
    </row>
    <row r="68" spans="3:16" x14ac:dyDescent="0.25">
      <c r="C68" s="90" t="s">
        <v>71</v>
      </c>
      <c r="D68" s="91">
        <f>P44</f>
        <v>269488.04102564103</v>
      </c>
      <c r="E68" s="91">
        <f>D70</f>
        <v>14072.541538461577</v>
      </c>
      <c r="F68" s="91">
        <f>E70</f>
        <v>283929.91589743592</v>
      </c>
      <c r="G68" s="91">
        <f t="shared" ref="G68" si="67">F70</f>
        <v>286436.5825641026</v>
      </c>
      <c r="H68" s="91">
        <f t="shared" ref="H68" si="68">G70</f>
        <v>295049.91589743592</v>
      </c>
      <c r="I68" s="91">
        <f t="shared" ref="I68" si="69">H70</f>
        <v>306789.12410256412</v>
      </c>
      <c r="J68" s="91">
        <f t="shared" ref="J68" si="70">I70</f>
        <v>314181.12410256418</v>
      </c>
      <c r="K68" s="91">
        <f t="shared" ref="K68" si="71">J70</f>
        <v>327920.33230769227</v>
      </c>
      <c r="L68" s="91">
        <f t="shared" ref="L68" si="72">K70</f>
        <v>337754.99897435895</v>
      </c>
      <c r="M68" s="91">
        <f t="shared" ref="M68" si="73">L70</f>
        <v>351160.87384615385</v>
      </c>
      <c r="N68" s="91">
        <f t="shared" ref="N68" si="74">M70</f>
        <v>357331.54051282053</v>
      </c>
      <c r="O68" s="95">
        <f t="shared" ref="O68" si="75">N70</f>
        <v>372404.08205128205</v>
      </c>
      <c r="P68" s="100">
        <f t="shared" ref="P68" si="76">O70</f>
        <v>387476.62358974363</v>
      </c>
    </row>
    <row r="69" spans="3:16" ht="15.75" thickBot="1" x14ac:dyDescent="0.3">
      <c r="C69" s="92" t="s">
        <v>70</v>
      </c>
      <c r="D69" s="84">
        <f>D67-D68</f>
        <v>14072.541538461577</v>
      </c>
      <c r="E69" s="84">
        <f>E67-E68</f>
        <v>269857.37435897434</v>
      </c>
      <c r="F69" s="84">
        <f t="shared" ref="F69:P69" si="77">F67-F68</f>
        <v>2506.6666666666861</v>
      </c>
      <c r="G69" s="84">
        <f t="shared" si="77"/>
        <v>8613.3333333333139</v>
      </c>
      <c r="H69" s="84">
        <f t="shared" si="77"/>
        <v>11739.208205128205</v>
      </c>
      <c r="I69" s="84">
        <f t="shared" si="77"/>
        <v>7392.0000000000582</v>
      </c>
      <c r="J69" s="84">
        <f t="shared" si="77"/>
        <v>13739.208205128089</v>
      </c>
      <c r="K69" s="84">
        <f t="shared" si="77"/>
        <v>9834.6666666666861</v>
      </c>
      <c r="L69" s="84">
        <f t="shared" si="77"/>
        <v>13405.874871794891</v>
      </c>
      <c r="M69" s="84">
        <f t="shared" si="77"/>
        <v>6170.6666666666861</v>
      </c>
      <c r="N69" s="84">
        <f t="shared" si="77"/>
        <v>15072.541538461519</v>
      </c>
      <c r="O69" s="96">
        <f t="shared" si="77"/>
        <v>15072.541538461577</v>
      </c>
      <c r="P69" s="102">
        <f t="shared" si="77"/>
        <v>15072.541538461577</v>
      </c>
    </row>
    <row r="70" spans="3:16" ht="15.75" hidden="1" thickBot="1" x14ac:dyDescent="0.3">
      <c r="C70" s="79" t="s">
        <v>61</v>
      </c>
      <c r="D70" s="73">
        <f>D69</f>
        <v>14072.541538461577</v>
      </c>
      <c r="E70" s="73">
        <f>E69+E68</f>
        <v>283929.91589743592</v>
      </c>
      <c r="F70" s="73">
        <f t="shared" ref="F70:P70" si="78">F69+F68</f>
        <v>286436.5825641026</v>
      </c>
      <c r="G70" s="73">
        <f t="shared" si="78"/>
        <v>295049.91589743592</v>
      </c>
      <c r="H70" s="73">
        <f t="shared" si="78"/>
        <v>306789.12410256412</v>
      </c>
      <c r="I70" s="73">
        <f t="shared" si="78"/>
        <v>314181.12410256418</v>
      </c>
      <c r="J70" s="73">
        <f t="shared" si="78"/>
        <v>327920.33230769227</v>
      </c>
      <c r="K70" s="73">
        <f t="shared" si="78"/>
        <v>337754.99897435895</v>
      </c>
      <c r="L70" s="73">
        <f t="shared" si="78"/>
        <v>351160.87384615385</v>
      </c>
      <c r="M70" s="73">
        <f t="shared" si="78"/>
        <v>357331.54051282053</v>
      </c>
      <c r="N70" s="73">
        <f t="shared" si="78"/>
        <v>372404.08205128205</v>
      </c>
      <c r="O70" s="80">
        <f t="shared" si="78"/>
        <v>387476.62358974363</v>
      </c>
      <c r="P70" s="80">
        <f t="shared" si="78"/>
        <v>402549.1651282052</v>
      </c>
    </row>
    <row r="72" spans="3:16" ht="15.75" thickBot="1" x14ac:dyDescent="0.3"/>
    <row r="73" spans="3:16" ht="15.75" thickBot="1" x14ac:dyDescent="0.3">
      <c r="C73" s="105" t="s">
        <v>69</v>
      </c>
      <c r="D73" s="106">
        <v>40</v>
      </c>
      <c r="E73" s="106">
        <v>41</v>
      </c>
      <c r="F73" s="106">
        <v>42</v>
      </c>
      <c r="G73" s="106">
        <v>43</v>
      </c>
      <c r="H73" s="106">
        <v>44</v>
      </c>
      <c r="I73" s="106">
        <v>45</v>
      </c>
      <c r="J73" s="106">
        <v>46</v>
      </c>
      <c r="K73" s="106">
        <v>47</v>
      </c>
      <c r="L73" s="106">
        <v>48</v>
      </c>
      <c r="M73" s="106">
        <v>49</v>
      </c>
      <c r="N73" s="106">
        <v>50</v>
      </c>
      <c r="O73" s="106">
        <v>51</v>
      </c>
      <c r="P73" s="107">
        <v>52</v>
      </c>
    </row>
    <row r="74" spans="3:16" x14ac:dyDescent="0.25">
      <c r="C74" s="75" t="s">
        <v>73</v>
      </c>
      <c r="D74" s="141">
        <v>71250</v>
      </c>
      <c r="E74" s="141">
        <v>16250</v>
      </c>
      <c r="F74" s="141">
        <v>60000</v>
      </c>
      <c r="G74" s="141">
        <v>50000</v>
      </c>
      <c r="H74" s="141">
        <v>62500</v>
      </c>
      <c r="I74" s="141">
        <v>25000</v>
      </c>
      <c r="J74" s="141">
        <v>30000</v>
      </c>
      <c r="K74" s="141">
        <v>70000</v>
      </c>
      <c r="L74" s="141">
        <v>68750</v>
      </c>
      <c r="M74" s="141">
        <v>75000</v>
      </c>
      <c r="N74" s="141">
        <v>75000</v>
      </c>
      <c r="O74" s="141">
        <v>75000</v>
      </c>
      <c r="P74" s="178">
        <v>75000</v>
      </c>
    </row>
    <row r="75" spans="3:16" x14ac:dyDescent="0.25">
      <c r="C75" s="109" t="s">
        <v>63</v>
      </c>
      <c r="D75" s="112">
        <v>40</v>
      </c>
      <c r="E75" s="112">
        <v>41</v>
      </c>
      <c r="F75" s="112">
        <v>42</v>
      </c>
      <c r="G75" s="112">
        <v>43</v>
      </c>
      <c r="H75" s="112">
        <v>44</v>
      </c>
      <c r="I75" s="112">
        <v>45</v>
      </c>
      <c r="J75" s="112">
        <v>46</v>
      </c>
      <c r="K75" s="112">
        <v>47</v>
      </c>
      <c r="L75" s="112">
        <v>48</v>
      </c>
      <c r="M75" s="112">
        <v>49</v>
      </c>
      <c r="N75" s="112">
        <v>50</v>
      </c>
      <c r="O75" s="112">
        <v>51</v>
      </c>
      <c r="P75" s="115">
        <v>52</v>
      </c>
    </row>
    <row r="76" spans="3:16" ht="15.75" thickBot="1" x14ac:dyDescent="0.3">
      <c r="C76" s="81" t="s">
        <v>17</v>
      </c>
      <c r="D76" s="82">
        <f>IF(D74&lt;(3081600/52),D74*5.6%,(3081600/52)*5.6%)</f>
        <v>3318.6461538461535</v>
      </c>
      <c r="E76" s="82">
        <f t="shared" ref="E76:P76" si="79">IF(E74&lt;(3081600/52),E74*5.6%,(3081600/52)*5.6%)</f>
        <v>909.99999999999989</v>
      </c>
      <c r="F76" s="82">
        <f t="shared" si="79"/>
        <v>3318.6461538461535</v>
      </c>
      <c r="G76" s="82">
        <f t="shared" si="79"/>
        <v>2799.9999999999995</v>
      </c>
      <c r="H76" s="82">
        <f t="shared" si="79"/>
        <v>3318.6461538461535</v>
      </c>
      <c r="I76" s="82">
        <f t="shared" si="79"/>
        <v>1399.9999999999998</v>
      </c>
      <c r="J76" s="82">
        <f t="shared" si="79"/>
        <v>1679.9999999999998</v>
      </c>
      <c r="K76" s="82">
        <f t="shared" si="79"/>
        <v>3318.6461538461535</v>
      </c>
      <c r="L76" s="82">
        <f t="shared" si="79"/>
        <v>3318.6461538461535</v>
      </c>
      <c r="M76" s="82">
        <f t="shared" si="79"/>
        <v>3318.6461538461535</v>
      </c>
      <c r="N76" s="82">
        <f t="shared" si="79"/>
        <v>3318.6461538461535</v>
      </c>
      <c r="O76" s="82">
        <f t="shared" si="79"/>
        <v>3318.6461538461535</v>
      </c>
      <c r="P76" s="82">
        <f t="shared" si="79"/>
        <v>3318.6461538461535</v>
      </c>
    </row>
    <row r="77" spans="3:16" ht="15.75" hidden="1" thickBot="1" x14ac:dyDescent="0.3">
      <c r="C77" s="81" t="s">
        <v>55</v>
      </c>
      <c r="D77" s="82">
        <f t="shared" ref="D77:O77" si="80">IF(D74&gt;180000,D74/3,65000)</f>
        <v>65000</v>
      </c>
      <c r="E77" s="82">
        <f t="shared" si="80"/>
        <v>65000</v>
      </c>
      <c r="F77" s="82">
        <f t="shared" si="80"/>
        <v>65000</v>
      </c>
      <c r="G77" s="82">
        <f t="shared" si="80"/>
        <v>65000</v>
      </c>
      <c r="H77" s="82">
        <f t="shared" si="80"/>
        <v>65000</v>
      </c>
      <c r="I77" s="82">
        <f t="shared" si="80"/>
        <v>65000</v>
      </c>
      <c r="J77" s="82">
        <f t="shared" si="80"/>
        <v>65000</v>
      </c>
      <c r="K77" s="82">
        <f t="shared" si="80"/>
        <v>65000</v>
      </c>
      <c r="L77" s="82">
        <f t="shared" si="80"/>
        <v>65000</v>
      </c>
      <c r="M77" s="82">
        <f t="shared" si="80"/>
        <v>65000</v>
      </c>
      <c r="N77" s="82">
        <f t="shared" si="80"/>
        <v>65000</v>
      </c>
      <c r="O77" s="82">
        <f t="shared" si="80"/>
        <v>65000</v>
      </c>
      <c r="P77" s="98"/>
    </row>
    <row r="78" spans="3:16" hidden="1" x14ac:dyDescent="0.25">
      <c r="C78" s="76" t="s">
        <v>56</v>
      </c>
      <c r="D78" s="66">
        <f t="shared" ref="D78:O78" si="81">IF((D74-(D76+D77))&lt;0,0,(D74-(D76+D77)))</f>
        <v>2931.353846153841</v>
      </c>
      <c r="E78" s="66">
        <f t="shared" si="81"/>
        <v>0</v>
      </c>
      <c r="F78" s="66">
        <f t="shared" si="81"/>
        <v>0</v>
      </c>
      <c r="G78" s="66">
        <f t="shared" si="81"/>
        <v>0</v>
      </c>
      <c r="H78" s="66">
        <f t="shared" si="81"/>
        <v>0</v>
      </c>
      <c r="I78" s="66">
        <f t="shared" si="81"/>
        <v>0</v>
      </c>
      <c r="J78" s="66">
        <f t="shared" si="81"/>
        <v>0</v>
      </c>
      <c r="K78" s="66">
        <f t="shared" si="81"/>
        <v>1681.353846153841</v>
      </c>
      <c r="L78" s="66">
        <f t="shared" si="81"/>
        <v>431.353846153841</v>
      </c>
      <c r="M78" s="66">
        <f t="shared" si="81"/>
        <v>6681.353846153841</v>
      </c>
      <c r="N78" s="66">
        <f t="shared" si="81"/>
        <v>6681.353846153841</v>
      </c>
      <c r="O78" s="66">
        <f t="shared" si="81"/>
        <v>6681.353846153841</v>
      </c>
      <c r="P78" s="98"/>
    </row>
    <row r="79" spans="3:16" hidden="1" x14ac:dyDescent="0.25">
      <c r="C79" s="76" t="s">
        <v>64</v>
      </c>
      <c r="D79" s="66">
        <f>IF(D78&lt;120000,D78*0.28,120000*0.28)</f>
        <v>820.77907692307554</v>
      </c>
      <c r="E79" s="66">
        <f t="shared" ref="E79:O79" si="82">IF(E78&lt;120000,E78*0.28,120000*0.28)</f>
        <v>0</v>
      </c>
      <c r="F79" s="66">
        <f t="shared" si="82"/>
        <v>0</v>
      </c>
      <c r="G79" s="66">
        <f t="shared" si="82"/>
        <v>0</v>
      </c>
      <c r="H79" s="66">
        <f t="shared" si="82"/>
        <v>0</v>
      </c>
      <c r="I79" s="66">
        <f t="shared" si="82"/>
        <v>0</v>
      </c>
      <c r="J79" s="66">
        <f t="shared" si="82"/>
        <v>0</v>
      </c>
      <c r="K79" s="66">
        <f t="shared" si="82"/>
        <v>470.77907692307554</v>
      </c>
      <c r="L79" s="66">
        <f t="shared" si="82"/>
        <v>120.77907692307549</v>
      </c>
      <c r="M79" s="66">
        <f t="shared" si="82"/>
        <v>1870.7790769230758</v>
      </c>
      <c r="N79" s="66">
        <f t="shared" si="82"/>
        <v>1870.7790769230758</v>
      </c>
      <c r="O79" s="66">
        <f t="shared" si="82"/>
        <v>1870.7790769230758</v>
      </c>
      <c r="P79" s="98"/>
    </row>
    <row r="80" spans="3:16" hidden="1" x14ac:dyDescent="0.25">
      <c r="C80" s="76" t="s">
        <v>65</v>
      </c>
      <c r="D80" s="66">
        <f>IF(D78-120000&gt;0,(D78-120000)*40%,0)</f>
        <v>0</v>
      </c>
      <c r="E80" s="66">
        <f t="shared" ref="E80:O80" si="83">IF(E78-120000&gt;0,(E78-120000)*40%,0)</f>
        <v>0</v>
      </c>
      <c r="F80" s="66">
        <f t="shared" si="83"/>
        <v>0</v>
      </c>
      <c r="G80" s="66">
        <f t="shared" si="83"/>
        <v>0</v>
      </c>
      <c r="H80" s="66">
        <f t="shared" si="83"/>
        <v>0</v>
      </c>
      <c r="I80" s="66">
        <f t="shared" si="83"/>
        <v>0</v>
      </c>
      <c r="J80" s="66">
        <f t="shared" si="83"/>
        <v>0</v>
      </c>
      <c r="K80" s="66">
        <f t="shared" si="83"/>
        <v>0</v>
      </c>
      <c r="L80" s="66">
        <f t="shared" si="83"/>
        <v>0</v>
      </c>
      <c r="M80" s="66">
        <f t="shared" si="83"/>
        <v>0</v>
      </c>
      <c r="N80" s="66">
        <f t="shared" si="83"/>
        <v>0</v>
      </c>
      <c r="O80" s="66">
        <f t="shared" si="83"/>
        <v>0</v>
      </c>
      <c r="P80" s="98"/>
    </row>
    <row r="81" spans="3:16" hidden="1" x14ac:dyDescent="0.25">
      <c r="C81" s="77" t="s">
        <v>19</v>
      </c>
      <c r="D81" s="67">
        <f t="shared" ref="D81:O81" si="84">D79+D80</f>
        <v>820.77907692307554</v>
      </c>
      <c r="E81" s="67">
        <f t="shared" si="84"/>
        <v>0</v>
      </c>
      <c r="F81" s="67">
        <f t="shared" si="84"/>
        <v>0</v>
      </c>
      <c r="G81" s="67">
        <f t="shared" si="84"/>
        <v>0</v>
      </c>
      <c r="H81" s="67">
        <f t="shared" si="84"/>
        <v>0</v>
      </c>
      <c r="I81" s="67">
        <f t="shared" si="84"/>
        <v>0</v>
      </c>
      <c r="J81" s="67">
        <f t="shared" si="84"/>
        <v>0</v>
      </c>
      <c r="K81" s="67">
        <f t="shared" si="84"/>
        <v>470.77907692307554</v>
      </c>
      <c r="L81" s="67">
        <f t="shared" si="84"/>
        <v>120.77907692307549</v>
      </c>
      <c r="M81" s="67">
        <f t="shared" si="84"/>
        <v>1870.7790769230758</v>
      </c>
      <c r="N81" s="67">
        <f t="shared" si="84"/>
        <v>1870.7790769230758</v>
      </c>
      <c r="O81" s="67">
        <f t="shared" si="84"/>
        <v>1870.7790769230758</v>
      </c>
      <c r="P81" s="98"/>
    </row>
    <row r="82" spans="3:16" hidden="1" x14ac:dyDescent="0.25">
      <c r="C82" s="76" t="s">
        <v>61</v>
      </c>
      <c r="D82" s="68">
        <f>D81</f>
        <v>820.77907692307554</v>
      </c>
      <c r="E82" s="68">
        <f>D82+E81</f>
        <v>820.77907692307554</v>
      </c>
      <c r="F82" s="68">
        <f t="shared" ref="F82" si="85">E82+F81</f>
        <v>820.77907692307554</v>
      </c>
      <c r="G82" s="68">
        <f t="shared" ref="G82" si="86">F82+G81</f>
        <v>820.77907692307554</v>
      </c>
      <c r="H82" s="68">
        <f t="shared" ref="H82" si="87">G82+H81</f>
        <v>820.77907692307554</v>
      </c>
      <c r="I82" s="68">
        <f t="shared" ref="I82" si="88">H82+I81</f>
        <v>820.77907692307554</v>
      </c>
      <c r="J82" s="68">
        <f t="shared" ref="J82" si="89">I82+J81</f>
        <v>820.77907692307554</v>
      </c>
      <c r="K82" s="68">
        <f t="shared" ref="K82" si="90">J82+K81</f>
        <v>1291.5581538461511</v>
      </c>
      <c r="L82" s="68">
        <f t="shared" ref="L82" si="91">K82+L81</f>
        <v>1412.3372307692266</v>
      </c>
      <c r="M82" s="68">
        <f t="shared" ref="M82" si="92">L82+M81</f>
        <v>3283.1163076923021</v>
      </c>
      <c r="N82" s="68">
        <f t="shared" ref="N82" si="93">M82+N81</f>
        <v>5153.8953846153781</v>
      </c>
      <c r="O82" s="93">
        <f t="shared" ref="O82" si="94">N82+O81</f>
        <v>7024.6744615384541</v>
      </c>
      <c r="P82" s="98"/>
    </row>
    <row r="83" spans="3:16" ht="15.75" thickBot="1" x14ac:dyDescent="0.3">
      <c r="C83" s="78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98"/>
    </row>
    <row r="84" spans="3:16" x14ac:dyDescent="0.25">
      <c r="C84" s="108" t="s">
        <v>66</v>
      </c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1"/>
    </row>
    <row r="85" spans="3:16" x14ac:dyDescent="0.25">
      <c r="C85" s="76" t="s">
        <v>57</v>
      </c>
      <c r="D85" s="83">
        <f>P61+D74</f>
        <v>2270512</v>
      </c>
      <c r="E85" s="83">
        <f t="shared" ref="E85:P85" si="95">D85+E74</f>
        <v>2286762</v>
      </c>
      <c r="F85" s="83">
        <f t="shared" si="95"/>
        <v>2346762</v>
      </c>
      <c r="G85" s="83">
        <f t="shared" si="95"/>
        <v>2396762</v>
      </c>
      <c r="H85" s="83">
        <f t="shared" si="95"/>
        <v>2459262</v>
      </c>
      <c r="I85" s="83">
        <f t="shared" si="95"/>
        <v>2484262</v>
      </c>
      <c r="J85" s="83">
        <f t="shared" si="95"/>
        <v>2514262</v>
      </c>
      <c r="K85" s="83">
        <f t="shared" si="95"/>
        <v>2584262</v>
      </c>
      <c r="L85" s="83">
        <f t="shared" si="95"/>
        <v>2653012</v>
      </c>
      <c r="M85" s="83">
        <f t="shared" si="95"/>
        <v>2728012</v>
      </c>
      <c r="N85" s="83">
        <f t="shared" si="95"/>
        <v>2803012</v>
      </c>
      <c r="O85" s="66">
        <f t="shared" si="95"/>
        <v>2878012</v>
      </c>
      <c r="P85" s="99">
        <f t="shared" si="95"/>
        <v>2953012</v>
      </c>
    </row>
    <row r="86" spans="3:16" x14ac:dyDescent="0.25">
      <c r="C86" s="76" t="s">
        <v>58</v>
      </c>
      <c r="D86" s="83">
        <f>P62+D76</f>
        <v>112120.40000000004</v>
      </c>
      <c r="E86" s="83">
        <f t="shared" ref="E86" si="96">D86+E76</f>
        <v>113030.40000000004</v>
      </c>
      <c r="F86" s="83">
        <f t="shared" ref="F86" si="97">E86+F76</f>
        <v>116349.0461538462</v>
      </c>
      <c r="G86" s="83">
        <f t="shared" ref="G86" si="98">F86+G76</f>
        <v>119149.0461538462</v>
      </c>
      <c r="H86" s="83">
        <f t="shared" ref="H86" si="99">G86+H76</f>
        <v>122467.69230769236</v>
      </c>
      <c r="I86" s="83">
        <f t="shared" ref="I86" si="100">H86+I76</f>
        <v>123867.69230769236</v>
      </c>
      <c r="J86" s="83">
        <f t="shared" ref="J86" si="101">I86+J76</f>
        <v>125547.69230769236</v>
      </c>
      <c r="K86" s="83">
        <f t="shared" ref="K86" si="102">J86+K76</f>
        <v>128866.33846153851</v>
      </c>
      <c r="L86" s="83">
        <f t="shared" ref="L86" si="103">K86+L76</f>
        <v>132184.98461538466</v>
      </c>
      <c r="M86" s="83">
        <f t="shared" ref="M86" si="104">L86+M76</f>
        <v>135503.6307692308</v>
      </c>
      <c r="N86" s="83">
        <f t="shared" ref="N86" si="105">M86+N76</f>
        <v>138822.27692307695</v>
      </c>
      <c r="O86" s="66">
        <f t="shared" ref="O86" si="106">N86+O76</f>
        <v>142140.92307692309</v>
      </c>
      <c r="P86" s="99">
        <f t="shared" ref="P86" si="107">O86+P76</f>
        <v>145459.56923076924</v>
      </c>
    </row>
    <row r="87" spans="3:16" x14ac:dyDescent="0.25">
      <c r="C87" s="104" t="s">
        <v>74</v>
      </c>
      <c r="D87" s="83">
        <f>IF(D85&gt;(780000/52),D85/3,(780000/52)*D75)</f>
        <v>756837.33333333337</v>
      </c>
      <c r="E87" s="83">
        <f t="shared" ref="E87:P87" si="108">IF(E85&gt;(780000/52),E85/3,(780000/52)*E75)</f>
        <v>762254</v>
      </c>
      <c r="F87" s="83">
        <f t="shared" si="108"/>
        <v>782254</v>
      </c>
      <c r="G87" s="83">
        <f t="shared" si="108"/>
        <v>798920.66666666663</v>
      </c>
      <c r="H87" s="83">
        <f t="shared" si="108"/>
        <v>819754</v>
      </c>
      <c r="I87" s="83">
        <f t="shared" si="108"/>
        <v>828087.33333333337</v>
      </c>
      <c r="J87" s="83">
        <f t="shared" si="108"/>
        <v>838087.33333333337</v>
      </c>
      <c r="K87" s="83">
        <f t="shared" si="108"/>
        <v>861420.66666666663</v>
      </c>
      <c r="L87" s="83">
        <f t="shared" si="108"/>
        <v>884337.33333333337</v>
      </c>
      <c r="M87" s="83">
        <f t="shared" si="108"/>
        <v>909337.33333333337</v>
      </c>
      <c r="N87" s="83">
        <f t="shared" si="108"/>
        <v>934337.33333333337</v>
      </c>
      <c r="O87" s="97">
        <f t="shared" si="108"/>
        <v>959337.33333333337</v>
      </c>
      <c r="P87" s="99">
        <f t="shared" si="108"/>
        <v>984337.33333333337</v>
      </c>
    </row>
    <row r="88" spans="3:16" x14ac:dyDescent="0.25">
      <c r="C88" s="76" t="s">
        <v>56</v>
      </c>
      <c r="D88" s="83">
        <f>IF((D85-(D86+D87))&lt;0,0,(D85-(D86+D87)))</f>
        <v>1401554.2666666666</v>
      </c>
      <c r="E88" s="83">
        <f t="shared" ref="E88:P88" si="109">IF((E85-(E86+E87))&lt;0,0,(E85-(E86+E87)))</f>
        <v>1411477.6</v>
      </c>
      <c r="F88" s="83">
        <f t="shared" si="109"/>
        <v>1448158.9538461538</v>
      </c>
      <c r="G88" s="83">
        <f t="shared" si="109"/>
        <v>1478692.2871794873</v>
      </c>
      <c r="H88" s="83">
        <f t="shared" si="109"/>
        <v>1517040.3076923075</v>
      </c>
      <c r="I88" s="83">
        <f t="shared" si="109"/>
        <v>1532306.9743589743</v>
      </c>
      <c r="J88" s="83">
        <f t="shared" si="109"/>
        <v>1550626.9743589743</v>
      </c>
      <c r="K88" s="83">
        <f t="shared" si="109"/>
        <v>1593974.9948717947</v>
      </c>
      <c r="L88" s="83">
        <f t="shared" si="109"/>
        <v>1636489.6820512819</v>
      </c>
      <c r="M88" s="83">
        <f t="shared" si="109"/>
        <v>1683171.0358974359</v>
      </c>
      <c r="N88" s="83">
        <f t="shared" si="109"/>
        <v>1729852.3897435898</v>
      </c>
      <c r="O88" s="97">
        <f t="shared" si="109"/>
        <v>1776533.7435897435</v>
      </c>
      <c r="P88" s="99">
        <f t="shared" si="109"/>
        <v>1823215.0974358974</v>
      </c>
    </row>
    <row r="89" spans="3:16" x14ac:dyDescent="0.25">
      <c r="C89" s="76" t="s">
        <v>59</v>
      </c>
      <c r="D89" s="83">
        <f>IF(D88&lt;=((1560000/52)*D75),D88*0.28,(1560000/52)*D75*0.28)</f>
        <v>336000.00000000006</v>
      </c>
      <c r="E89" s="83">
        <f t="shared" ref="E89:P89" si="110">IF(E88&lt;=((1560000/52)*E75),E88*0.28,(1560000/52)*E75*0.28)</f>
        <v>344400.00000000006</v>
      </c>
      <c r="F89" s="83">
        <f t="shared" si="110"/>
        <v>352800.00000000006</v>
      </c>
      <c r="G89" s="83">
        <f t="shared" si="110"/>
        <v>361200.00000000006</v>
      </c>
      <c r="H89" s="83">
        <f t="shared" si="110"/>
        <v>369600.00000000006</v>
      </c>
      <c r="I89" s="83">
        <f t="shared" si="110"/>
        <v>378000.00000000006</v>
      </c>
      <c r="J89" s="83">
        <f t="shared" si="110"/>
        <v>386400.00000000006</v>
      </c>
      <c r="K89" s="83">
        <f t="shared" si="110"/>
        <v>394800.00000000006</v>
      </c>
      <c r="L89" s="83">
        <f t="shared" si="110"/>
        <v>403200.00000000006</v>
      </c>
      <c r="M89" s="83">
        <f t="shared" si="110"/>
        <v>411600.00000000006</v>
      </c>
      <c r="N89" s="83">
        <f t="shared" si="110"/>
        <v>420000.00000000006</v>
      </c>
      <c r="O89" s="83">
        <f t="shared" si="110"/>
        <v>428400.00000000006</v>
      </c>
      <c r="P89" s="103">
        <f t="shared" si="110"/>
        <v>436800.00000000006</v>
      </c>
    </row>
    <row r="90" spans="3:16" x14ac:dyDescent="0.25">
      <c r="C90" s="85" t="s">
        <v>60</v>
      </c>
      <c r="D90" s="86">
        <f>IF((D88-((1560000/52)*D75))&gt;0,(D88-(1560000/52)*D75)*40%,0)</f>
        <v>80621.706666666651</v>
      </c>
      <c r="E90" s="86">
        <f t="shared" ref="E90:P90" si="111">IF((E88-((1560000/52)*E75))&gt;0,(E88-(1560000/52)*E75)*40%,0)</f>
        <v>72591.040000000037</v>
      </c>
      <c r="F90" s="86">
        <f t="shared" si="111"/>
        <v>75263.581538461527</v>
      </c>
      <c r="G90" s="86">
        <f t="shared" si="111"/>
        <v>75476.914871794914</v>
      </c>
      <c r="H90" s="86">
        <f t="shared" si="111"/>
        <v>78816.123076923017</v>
      </c>
      <c r="I90" s="86">
        <f t="shared" si="111"/>
        <v>72922.789743589703</v>
      </c>
      <c r="J90" s="86">
        <f t="shared" si="111"/>
        <v>68250.789743589703</v>
      </c>
      <c r="K90" s="86">
        <f t="shared" si="111"/>
        <v>73589.997948717893</v>
      </c>
      <c r="L90" s="86">
        <f t="shared" si="111"/>
        <v>78595.87282051277</v>
      </c>
      <c r="M90" s="86">
        <f t="shared" si="111"/>
        <v>85268.414358974347</v>
      </c>
      <c r="N90" s="86">
        <f t="shared" si="111"/>
        <v>91940.955897435924</v>
      </c>
      <c r="O90" s="86">
        <f t="shared" si="111"/>
        <v>98613.497435897414</v>
      </c>
      <c r="P90" s="87">
        <f t="shared" si="111"/>
        <v>105286.03897435899</v>
      </c>
    </row>
    <row r="91" spans="3:16" x14ac:dyDescent="0.25">
      <c r="C91" s="88" t="s">
        <v>67</v>
      </c>
      <c r="D91" s="89">
        <f>D89+D90</f>
        <v>416621.70666666672</v>
      </c>
      <c r="E91" s="89">
        <f>E89+E90</f>
        <v>416991.0400000001</v>
      </c>
      <c r="F91" s="89">
        <f t="shared" ref="F91:P91" si="112">F89+F90</f>
        <v>428063.58153846161</v>
      </c>
      <c r="G91" s="89">
        <f t="shared" si="112"/>
        <v>436676.91487179499</v>
      </c>
      <c r="H91" s="89">
        <f t="shared" si="112"/>
        <v>448416.12307692308</v>
      </c>
      <c r="I91" s="89">
        <f t="shared" si="112"/>
        <v>450922.78974358976</v>
      </c>
      <c r="J91" s="89">
        <f t="shared" si="112"/>
        <v>454650.78974358976</v>
      </c>
      <c r="K91" s="89">
        <f t="shared" si="112"/>
        <v>468389.99794871797</v>
      </c>
      <c r="L91" s="89">
        <f t="shared" si="112"/>
        <v>481795.87282051286</v>
      </c>
      <c r="M91" s="89">
        <f t="shared" si="112"/>
        <v>496868.41435897443</v>
      </c>
      <c r="N91" s="89">
        <f t="shared" si="112"/>
        <v>511940.95589743601</v>
      </c>
      <c r="O91" s="94">
        <f t="shared" si="112"/>
        <v>527013.49743589747</v>
      </c>
      <c r="P91" s="101">
        <f t="shared" si="112"/>
        <v>542086.03897435905</v>
      </c>
    </row>
    <row r="92" spans="3:16" x14ac:dyDescent="0.25">
      <c r="C92" s="90" t="s">
        <v>71</v>
      </c>
      <c r="D92" s="91">
        <f>P67</f>
        <v>402549.1651282052</v>
      </c>
      <c r="E92" s="91">
        <f>D91</f>
        <v>416621.70666666672</v>
      </c>
      <c r="F92" s="91">
        <f t="shared" ref="F92:P92" si="113">E91</f>
        <v>416991.0400000001</v>
      </c>
      <c r="G92" s="91">
        <f t="shared" si="113"/>
        <v>428063.58153846161</v>
      </c>
      <c r="H92" s="91">
        <f t="shared" si="113"/>
        <v>436676.91487179499</v>
      </c>
      <c r="I92" s="91">
        <f t="shared" si="113"/>
        <v>448416.12307692308</v>
      </c>
      <c r="J92" s="91">
        <f t="shared" si="113"/>
        <v>450922.78974358976</v>
      </c>
      <c r="K92" s="91">
        <f t="shared" si="113"/>
        <v>454650.78974358976</v>
      </c>
      <c r="L92" s="91">
        <f t="shared" si="113"/>
        <v>468389.99794871797</v>
      </c>
      <c r="M92" s="91">
        <f t="shared" si="113"/>
        <v>481795.87282051286</v>
      </c>
      <c r="N92" s="91">
        <f t="shared" si="113"/>
        <v>496868.41435897443</v>
      </c>
      <c r="O92" s="95">
        <f t="shared" si="113"/>
        <v>511940.95589743601</v>
      </c>
      <c r="P92" s="100">
        <f t="shared" si="113"/>
        <v>527013.49743589747</v>
      </c>
    </row>
    <row r="93" spans="3:16" ht="15.75" thickBot="1" x14ac:dyDescent="0.3">
      <c r="C93" s="92" t="s">
        <v>70</v>
      </c>
      <c r="D93" s="84">
        <f>D91-D92</f>
        <v>14072.541538461519</v>
      </c>
      <c r="E93" s="84">
        <f>E91-E92</f>
        <v>369.33333333337214</v>
      </c>
      <c r="F93" s="84">
        <f t="shared" ref="F93:P93" si="114">F91-F92</f>
        <v>11072.541538461519</v>
      </c>
      <c r="G93" s="84">
        <f t="shared" si="114"/>
        <v>8613.3333333333721</v>
      </c>
      <c r="H93" s="84">
        <f t="shared" si="114"/>
        <v>11739.208205128089</v>
      </c>
      <c r="I93" s="84">
        <f t="shared" si="114"/>
        <v>2506.6666666666861</v>
      </c>
      <c r="J93" s="84">
        <f t="shared" si="114"/>
        <v>3728</v>
      </c>
      <c r="K93" s="84">
        <f t="shared" si="114"/>
        <v>13739.208205128205</v>
      </c>
      <c r="L93" s="84">
        <f t="shared" si="114"/>
        <v>13405.874871794891</v>
      </c>
      <c r="M93" s="84">
        <f t="shared" si="114"/>
        <v>15072.541538461577</v>
      </c>
      <c r="N93" s="84">
        <f t="shared" si="114"/>
        <v>15072.541538461577</v>
      </c>
      <c r="O93" s="96">
        <f t="shared" si="114"/>
        <v>15072.541538461461</v>
      </c>
      <c r="P93" s="102">
        <f t="shared" si="114"/>
        <v>15072.541538461577</v>
      </c>
    </row>
  </sheetData>
  <sheetProtection algorithmName="SHA-512" hashValue="yK2IEw3uy7aOuPGQ5y2h2FhjgMG+Jr96HiMlJu6OLYH/ut7dOVOsWoftjxF63jwut9Nbuz1TpjOJR/43PghMug==" saltValue="jUUdvciUAbrk5WYocz2qqg==" spinCount="100000" sheet="1" formatCells="0" formatColumns="0" formatRows="0" insertColumns="0" insertRows="0" insertHyperlinks="0" deleteColumns="0" deleteRows="0"/>
  <mergeCells count="1">
    <mergeCell ref="B3:B2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opLeftCell="A10" workbookViewId="0">
      <selection activeCell="E3" sqref="E3"/>
    </sheetView>
  </sheetViews>
  <sheetFormatPr defaultRowHeight="15" x14ac:dyDescent="0.25"/>
  <cols>
    <col min="1" max="1" width="13.28515625" customWidth="1"/>
    <col min="2" max="2" width="20.5703125" customWidth="1"/>
    <col min="3" max="3" width="24.5703125" customWidth="1"/>
    <col min="4" max="4" width="22.140625" customWidth="1"/>
    <col min="5" max="5" width="17.5703125" customWidth="1"/>
    <col min="9" max="13" width="0" hidden="1" customWidth="1"/>
  </cols>
  <sheetData>
    <row r="1" spans="1:13" x14ac:dyDescent="0.25">
      <c r="A1" s="1">
        <v>2017</v>
      </c>
      <c r="B1" s="1"/>
      <c r="C1" s="1"/>
      <c r="D1" s="1"/>
      <c r="E1" s="2">
        <f t="shared" ref="E1" si="0">B1-(C1+D1)</f>
        <v>0</v>
      </c>
      <c r="F1" s="3">
        <f>IF(E1&lt;120000,E1*0.28,120000*0.28)</f>
        <v>0</v>
      </c>
      <c r="G1" s="3">
        <f>IF(E1&lt;120000,0,(E1-120000)*0.4)</f>
        <v>0</v>
      </c>
      <c r="H1" s="8"/>
      <c r="I1" s="1"/>
      <c r="J1" s="3"/>
      <c r="K1" s="3"/>
      <c r="L1" s="1"/>
      <c r="M1" s="1">
        <v>2017</v>
      </c>
    </row>
    <row r="2" spans="1:13" x14ac:dyDescent="0.25">
      <c r="A2" s="4" t="s">
        <v>0</v>
      </c>
      <c r="B2" s="4" t="s">
        <v>1</v>
      </c>
      <c r="C2" s="4" t="s">
        <v>2</v>
      </c>
      <c r="D2" s="4" t="s">
        <v>3</v>
      </c>
      <c r="E2" s="2" t="s">
        <v>4</v>
      </c>
      <c r="F2" s="3" t="s">
        <v>11</v>
      </c>
      <c r="G2" s="3"/>
      <c r="H2" s="9" t="s">
        <v>5</v>
      </c>
      <c r="I2" s="4" t="s">
        <v>6</v>
      </c>
      <c r="J2" s="5" t="s">
        <v>7</v>
      </c>
      <c r="K2" s="5" t="s">
        <v>8</v>
      </c>
      <c r="L2" s="4" t="s">
        <v>9</v>
      </c>
      <c r="M2" s="4" t="s">
        <v>10</v>
      </c>
    </row>
    <row r="3" spans="1:13" x14ac:dyDescent="0.25">
      <c r="A3" s="3">
        <v>1000000</v>
      </c>
      <c r="B3" s="3">
        <f>A3/12</f>
        <v>83333.333333333328</v>
      </c>
      <c r="C3" s="3">
        <f>IF(B3&gt;180000,B3/3,60000)</f>
        <v>60000</v>
      </c>
      <c r="D3" s="3">
        <f>IF(B3&lt;220000,B3*12.5%,220000*12.5%)</f>
        <v>10416.666666666666</v>
      </c>
      <c r="E3" s="2">
        <f t="shared" ref="E3:E13" si="1">B3-(C3+D3)</f>
        <v>12916.666666666657</v>
      </c>
      <c r="F3" s="3">
        <f>IF(E3&lt;120000,E3*0.28,120000*0.28)</f>
        <v>3616.6666666666642</v>
      </c>
      <c r="G3" s="3">
        <f t="shared" ref="G3:G5" si="2">IF(E3-120000&gt;0,(E3-120000)*40%,0)</f>
        <v>0</v>
      </c>
      <c r="H3" s="10">
        <f>F3+G3</f>
        <v>3616.6666666666642</v>
      </c>
      <c r="I3" s="3">
        <f>B3-H3</f>
        <v>79716.666666666657</v>
      </c>
      <c r="J3" s="3">
        <f>C3*12</f>
        <v>720000</v>
      </c>
      <c r="K3" s="3">
        <f>A3-J3</f>
        <v>280000</v>
      </c>
      <c r="L3" s="3">
        <f t="shared" ref="L3:L13" si="3">(F3+G3)*12</f>
        <v>43399.999999999971</v>
      </c>
      <c r="M3" s="3">
        <f t="shared" ref="M3:M13" si="4">A3-L3</f>
        <v>956600</v>
      </c>
    </row>
    <row r="4" spans="1:13" x14ac:dyDescent="0.25">
      <c r="A4" s="3">
        <v>2160000</v>
      </c>
      <c r="B4" s="3">
        <f>A4/12</f>
        <v>180000</v>
      </c>
      <c r="C4" s="3">
        <f t="shared" ref="C4:C13" si="5">IF(B4&gt;180000,B4/3,60000)</f>
        <v>60000</v>
      </c>
      <c r="D4" s="3">
        <f t="shared" ref="D4:D13" si="6">IF(B4&lt;220000,B4*12.5%,220000*12.5%)</f>
        <v>22500</v>
      </c>
      <c r="E4" s="2">
        <f t="shared" si="1"/>
        <v>97500</v>
      </c>
      <c r="F4" s="3">
        <f>IF(E4&lt;120000,E4*0.28,120000*0.28)</f>
        <v>27300.000000000004</v>
      </c>
      <c r="G4" s="3">
        <f t="shared" si="2"/>
        <v>0</v>
      </c>
      <c r="H4" s="10">
        <f t="shared" ref="H4:H13" si="7">F4+G4</f>
        <v>27300.000000000004</v>
      </c>
      <c r="I4" s="3">
        <f t="shared" ref="I4:I13" si="8">B4-H4</f>
        <v>152700</v>
      </c>
      <c r="J4" s="3">
        <f t="shared" ref="J4:J13" si="9">C4*12</f>
        <v>720000</v>
      </c>
      <c r="K4" s="3">
        <f t="shared" ref="K4:K13" si="10">A4-J4</f>
        <v>1440000</v>
      </c>
      <c r="L4" s="3">
        <f t="shared" si="3"/>
        <v>327600.00000000006</v>
      </c>
      <c r="M4" s="3">
        <f t="shared" si="4"/>
        <v>1832400</v>
      </c>
    </row>
    <row r="5" spans="1:13" x14ac:dyDescent="0.25">
      <c r="A5" s="3">
        <v>2190000</v>
      </c>
      <c r="B5" s="3">
        <f>A5/12</f>
        <v>182500</v>
      </c>
      <c r="C5" s="3">
        <f t="shared" si="5"/>
        <v>60833.333333333336</v>
      </c>
      <c r="D5" s="3">
        <f t="shared" si="6"/>
        <v>22812.5</v>
      </c>
      <c r="E5" s="2">
        <f t="shared" si="1"/>
        <v>98854.166666666657</v>
      </c>
      <c r="F5" s="3">
        <f>IF(E5&lt;120000,E5*0.28,120000*0.28)</f>
        <v>27679.166666666668</v>
      </c>
      <c r="G5" s="3">
        <f t="shared" si="2"/>
        <v>0</v>
      </c>
      <c r="H5" s="10">
        <f t="shared" si="7"/>
        <v>27679.166666666668</v>
      </c>
      <c r="I5" s="3">
        <f t="shared" si="8"/>
        <v>154820.83333333334</v>
      </c>
      <c r="J5" s="3">
        <f t="shared" si="9"/>
        <v>730000</v>
      </c>
      <c r="K5" s="3">
        <f t="shared" si="10"/>
        <v>1460000</v>
      </c>
      <c r="L5" s="3">
        <f t="shared" si="3"/>
        <v>332150</v>
      </c>
      <c r="M5" s="3">
        <f t="shared" si="4"/>
        <v>1857850</v>
      </c>
    </row>
    <row r="6" spans="1:13" x14ac:dyDescent="0.25">
      <c r="A6" s="3">
        <v>4000000</v>
      </c>
      <c r="B6" s="3">
        <f>A6/12</f>
        <v>333333.33333333331</v>
      </c>
      <c r="C6" s="3">
        <f t="shared" si="5"/>
        <v>111111.11111111111</v>
      </c>
      <c r="D6" s="3">
        <f t="shared" si="6"/>
        <v>27500</v>
      </c>
      <c r="E6" s="2">
        <f t="shared" si="1"/>
        <v>194722.22222222219</v>
      </c>
      <c r="F6" s="3">
        <f t="shared" ref="F6:F13" si="11">IF(E6&lt;120000,E6*0.28,120000*0.28)</f>
        <v>33600</v>
      </c>
      <c r="G6" s="3">
        <f>IF(E6-120000&gt;0,(E6-120000)*40%,0)</f>
        <v>29888.888888888876</v>
      </c>
      <c r="H6" s="10">
        <f t="shared" si="7"/>
        <v>63488.888888888876</v>
      </c>
      <c r="I6" s="3">
        <f t="shared" si="8"/>
        <v>269844.44444444444</v>
      </c>
      <c r="J6" s="3">
        <f t="shared" si="9"/>
        <v>1333333.3333333333</v>
      </c>
      <c r="K6" s="3">
        <f t="shared" si="10"/>
        <v>2666666.666666667</v>
      </c>
      <c r="L6" s="3">
        <f t="shared" si="3"/>
        <v>761866.66666666651</v>
      </c>
      <c r="M6" s="3">
        <f t="shared" si="4"/>
        <v>3238133.3333333335</v>
      </c>
    </row>
    <row r="7" spans="1:13" x14ac:dyDescent="0.25">
      <c r="A7" s="3">
        <v>12000000</v>
      </c>
      <c r="B7" s="3">
        <f>A7/12</f>
        <v>1000000</v>
      </c>
      <c r="C7" s="3">
        <f t="shared" si="5"/>
        <v>333333.33333333331</v>
      </c>
      <c r="D7" s="3">
        <f t="shared" si="6"/>
        <v>27500</v>
      </c>
      <c r="E7" s="2">
        <f t="shared" si="1"/>
        <v>639166.66666666674</v>
      </c>
      <c r="F7" s="3">
        <f t="shared" si="11"/>
        <v>33600</v>
      </c>
      <c r="G7" s="3">
        <f>IF(E7-120000&gt;0,(E7-120000)*40%,0)</f>
        <v>207666.66666666672</v>
      </c>
      <c r="H7" s="10">
        <f t="shared" si="7"/>
        <v>241266.66666666672</v>
      </c>
      <c r="I7" s="3">
        <f t="shared" si="8"/>
        <v>758733.33333333326</v>
      </c>
      <c r="J7" s="3">
        <f t="shared" si="9"/>
        <v>4000000</v>
      </c>
      <c r="K7" s="3">
        <f t="shared" si="10"/>
        <v>8000000</v>
      </c>
      <c r="L7" s="3">
        <f t="shared" si="3"/>
        <v>2895200.0000000005</v>
      </c>
      <c r="M7" s="3">
        <f t="shared" si="4"/>
        <v>9104800</v>
      </c>
    </row>
    <row r="8" spans="1:13" x14ac:dyDescent="0.25">
      <c r="A8" s="3">
        <f>B8*12</f>
        <v>3023280</v>
      </c>
      <c r="B8" s="3">
        <v>251940</v>
      </c>
      <c r="C8" s="3">
        <f t="shared" si="5"/>
        <v>83980</v>
      </c>
      <c r="D8" s="3">
        <f t="shared" si="6"/>
        <v>27500</v>
      </c>
      <c r="E8" s="2">
        <f t="shared" si="1"/>
        <v>140460</v>
      </c>
      <c r="F8" s="3">
        <f t="shared" si="11"/>
        <v>33600</v>
      </c>
      <c r="G8" s="3">
        <f>IF(E8-120000&gt;0,(E8-120000)*40%,0)</f>
        <v>8184</v>
      </c>
      <c r="H8" s="10">
        <f t="shared" si="7"/>
        <v>41784</v>
      </c>
      <c r="I8" s="3">
        <f t="shared" si="8"/>
        <v>210156</v>
      </c>
      <c r="J8" s="3">
        <f t="shared" si="9"/>
        <v>1007760</v>
      </c>
      <c r="K8" s="3">
        <f t="shared" si="10"/>
        <v>2015520</v>
      </c>
      <c r="L8" s="3">
        <f t="shared" si="3"/>
        <v>501408</v>
      </c>
      <c r="M8" s="3">
        <f t="shared" si="4"/>
        <v>2521872</v>
      </c>
    </row>
    <row r="9" spans="1:13" x14ac:dyDescent="0.25">
      <c r="A9" s="3">
        <v>2808000</v>
      </c>
      <c r="B9" s="11">
        <f>A9/12</f>
        <v>234000</v>
      </c>
      <c r="C9" s="3">
        <f t="shared" si="5"/>
        <v>78000</v>
      </c>
      <c r="D9" s="3">
        <f t="shared" si="6"/>
        <v>27500</v>
      </c>
      <c r="E9" s="2">
        <f t="shared" si="1"/>
        <v>128500</v>
      </c>
      <c r="F9" s="3">
        <f t="shared" si="11"/>
        <v>33600</v>
      </c>
      <c r="G9" s="3">
        <f>IF(E9-120000&gt;0,(E9-120000)*40%,0)</f>
        <v>3400</v>
      </c>
      <c r="H9" s="10">
        <f t="shared" si="7"/>
        <v>37000</v>
      </c>
      <c r="I9" s="3">
        <f t="shared" si="8"/>
        <v>197000</v>
      </c>
      <c r="J9" s="3">
        <f t="shared" si="9"/>
        <v>936000</v>
      </c>
      <c r="K9" s="3">
        <f t="shared" si="10"/>
        <v>1872000</v>
      </c>
      <c r="L9" s="3">
        <f t="shared" si="3"/>
        <v>444000</v>
      </c>
      <c r="M9" s="3">
        <f t="shared" si="4"/>
        <v>2364000</v>
      </c>
    </row>
    <row r="10" spans="1:13" x14ac:dyDescent="0.25">
      <c r="A10" s="7">
        <f>B10*12</f>
        <v>1200000</v>
      </c>
      <c r="B10" s="7">
        <v>100000</v>
      </c>
      <c r="C10" s="3">
        <f t="shared" si="5"/>
        <v>60000</v>
      </c>
      <c r="D10" s="3">
        <f t="shared" si="6"/>
        <v>12500</v>
      </c>
      <c r="E10" s="2">
        <f t="shared" si="1"/>
        <v>27500</v>
      </c>
      <c r="F10" s="3">
        <f t="shared" si="11"/>
        <v>7700.0000000000009</v>
      </c>
      <c r="G10" s="3">
        <f t="shared" ref="G10:G13" si="12">IF(E10-120000&gt;0,(E10-120000)*40%,0)</f>
        <v>0</v>
      </c>
      <c r="H10" s="10">
        <f t="shared" si="7"/>
        <v>7700.0000000000009</v>
      </c>
      <c r="I10" s="3">
        <f t="shared" si="8"/>
        <v>92300</v>
      </c>
      <c r="J10" s="3">
        <f t="shared" si="9"/>
        <v>720000</v>
      </c>
      <c r="K10" s="3">
        <f t="shared" si="10"/>
        <v>480000</v>
      </c>
      <c r="L10" s="3">
        <f t="shared" si="3"/>
        <v>92400.000000000015</v>
      </c>
      <c r="M10" s="3">
        <f t="shared" si="4"/>
        <v>1107600</v>
      </c>
    </row>
    <row r="11" spans="1:13" x14ac:dyDescent="0.25">
      <c r="A11" s="7">
        <f t="shared" ref="A11:A13" si="13">B11*12</f>
        <v>2852148</v>
      </c>
      <c r="B11" s="7">
        <v>237679</v>
      </c>
      <c r="C11" s="3">
        <f t="shared" si="5"/>
        <v>79226.333333333328</v>
      </c>
      <c r="D11" s="3">
        <f t="shared" si="6"/>
        <v>27500</v>
      </c>
      <c r="E11" s="2">
        <f t="shared" si="1"/>
        <v>130952.66666666667</v>
      </c>
      <c r="F11" s="3">
        <f t="shared" si="11"/>
        <v>33600</v>
      </c>
      <c r="G11" s="3">
        <f t="shared" si="12"/>
        <v>4381.0666666666684</v>
      </c>
      <c r="H11" s="10">
        <f t="shared" si="7"/>
        <v>37981.066666666666</v>
      </c>
      <c r="I11" s="3">
        <f t="shared" si="8"/>
        <v>199697.93333333335</v>
      </c>
      <c r="J11" s="3">
        <f t="shared" si="9"/>
        <v>950716</v>
      </c>
      <c r="K11" s="3">
        <f t="shared" si="10"/>
        <v>1901432</v>
      </c>
      <c r="L11" s="3">
        <f t="shared" si="3"/>
        <v>455772.8</v>
      </c>
      <c r="M11" s="3">
        <f t="shared" si="4"/>
        <v>2396375.2000000002</v>
      </c>
    </row>
    <row r="12" spans="1:13" x14ac:dyDescent="0.25">
      <c r="A12" s="7">
        <f t="shared" si="13"/>
        <v>3600000</v>
      </c>
      <c r="B12" s="7">
        <v>300000</v>
      </c>
      <c r="C12" s="3">
        <f t="shared" si="5"/>
        <v>100000</v>
      </c>
      <c r="D12" s="3">
        <f t="shared" si="6"/>
        <v>27500</v>
      </c>
      <c r="E12" s="2">
        <f t="shared" si="1"/>
        <v>172500</v>
      </c>
      <c r="F12" s="3">
        <f t="shared" si="11"/>
        <v>33600</v>
      </c>
      <c r="G12" s="3">
        <f t="shared" si="12"/>
        <v>21000</v>
      </c>
      <c r="H12" s="8">
        <f t="shared" si="7"/>
        <v>54600</v>
      </c>
      <c r="I12" s="3">
        <f t="shared" si="8"/>
        <v>245400</v>
      </c>
      <c r="J12" s="3">
        <f t="shared" si="9"/>
        <v>1200000</v>
      </c>
      <c r="K12" s="3">
        <f t="shared" si="10"/>
        <v>2400000</v>
      </c>
      <c r="L12" s="3">
        <f t="shared" si="3"/>
        <v>655200</v>
      </c>
      <c r="M12" s="3">
        <f t="shared" si="4"/>
        <v>2944800</v>
      </c>
    </row>
    <row r="13" spans="1:13" x14ac:dyDescent="0.25">
      <c r="A13" s="7">
        <f t="shared" si="13"/>
        <v>2179080</v>
      </c>
      <c r="B13" s="7">
        <v>181590</v>
      </c>
      <c r="C13" s="3">
        <f t="shared" si="5"/>
        <v>60530</v>
      </c>
      <c r="D13" s="3">
        <f t="shared" si="6"/>
        <v>22698.75</v>
      </c>
      <c r="E13" s="2">
        <f t="shared" si="1"/>
        <v>98361.25</v>
      </c>
      <c r="F13" s="3">
        <f t="shared" si="11"/>
        <v>27541.15</v>
      </c>
      <c r="G13" s="3">
        <f t="shared" si="12"/>
        <v>0</v>
      </c>
      <c r="H13" s="8">
        <f t="shared" si="7"/>
        <v>27541.15</v>
      </c>
      <c r="I13" s="3">
        <f t="shared" si="8"/>
        <v>154048.85</v>
      </c>
      <c r="J13" s="3">
        <f t="shared" si="9"/>
        <v>726360</v>
      </c>
      <c r="K13" s="3">
        <f t="shared" si="10"/>
        <v>1452720</v>
      </c>
      <c r="L13" s="3">
        <f t="shared" si="3"/>
        <v>330493.80000000005</v>
      </c>
      <c r="M13" s="3">
        <f t="shared" si="4"/>
        <v>1848586.2</v>
      </c>
    </row>
    <row r="14" spans="1:13" x14ac:dyDescent="0.25">
      <c r="H14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0" sqref="F10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opLeftCell="B1" zoomScale="190" zoomScaleNormal="190" workbookViewId="0">
      <selection activeCell="I3" sqref="I3"/>
    </sheetView>
  </sheetViews>
  <sheetFormatPr defaultRowHeight="18.75" x14ac:dyDescent="0.3"/>
  <cols>
    <col min="1" max="1" width="14.85546875" hidden="1" customWidth="1"/>
    <col min="2" max="3" width="14.85546875" style="15" customWidth="1"/>
    <col min="4" max="4" width="17.7109375" style="15" customWidth="1"/>
    <col min="5" max="5" width="16.28515625" style="15" bestFit="1" customWidth="1"/>
    <col min="6" max="6" width="15.85546875" style="15" customWidth="1"/>
    <col min="7" max="7" width="15.5703125" style="15" customWidth="1"/>
    <col min="8" max="8" width="13.42578125" style="15" customWidth="1"/>
    <col min="9" max="9" width="13.28515625" customWidth="1"/>
    <col min="10" max="10" width="21.28515625" style="20" customWidth="1"/>
    <col min="11" max="11" width="15.42578125" hidden="1" customWidth="1"/>
    <col min="12" max="12" width="15.7109375" hidden="1" customWidth="1"/>
    <col min="13" max="13" width="17.42578125" hidden="1" customWidth="1"/>
    <col min="14" max="14" width="13.42578125" hidden="1" customWidth="1"/>
    <col min="15" max="15" width="11" hidden="1" customWidth="1"/>
    <col min="16" max="16" width="0" hidden="1" customWidth="1"/>
  </cols>
  <sheetData>
    <row r="1" spans="1:20" x14ac:dyDescent="0.3">
      <c r="A1" s="1">
        <v>2017</v>
      </c>
      <c r="B1" s="12"/>
      <c r="C1" s="12"/>
      <c r="D1" s="12"/>
      <c r="E1" s="12"/>
      <c r="F1" s="12"/>
      <c r="G1" s="14">
        <f t="shared" ref="G1" si="0">D1-(E1+F1)</f>
        <v>0</v>
      </c>
      <c r="H1" s="14">
        <f>IF(G1&lt;120000,G1*0.28,120000*0.28)</f>
        <v>0</v>
      </c>
      <c r="I1" s="3">
        <f>IF(G1&lt;120000,0,(G1-120000)*0.4)</f>
        <v>0</v>
      </c>
      <c r="K1" s="1"/>
      <c r="L1" s="3"/>
      <c r="M1" s="3"/>
      <c r="N1" s="1"/>
      <c r="O1" s="1">
        <v>2017</v>
      </c>
    </row>
    <row r="2" spans="1:20" x14ac:dyDescent="0.3">
      <c r="A2" s="4" t="s">
        <v>0</v>
      </c>
      <c r="B2" s="13"/>
      <c r="C2" s="28" t="s">
        <v>13</v>
      </c>
      <c r="D2" s="28" t="s">
        <v>1</v>
      </c>
      <c r="E2" s="28" t="s">
        <v>2</v>
      </c>
      <c r="F2" s="28" t="s">
        <v>3</v>
      </c>
      <c r="G2" s="22" t="s">
        <v>4</v>
      </c>
      <c r="H2" s="22" t="s">
        <v>11</v>
      </c>
      <c r="I2" s="29"/>
      <c r="J2" s="21" t="s">
        <v>5</v>
      </c>
      <c r="K2" s="4" t="s">
        <v>6</v>
      </c>
      <c r="L2" s="5" t="s">
        <v>7</v>
      </c>
      <c r="M2" s="5" t="s">
        <v>8</v>
      </c>
      <c r="N2" s="4" t="s">
        <v>9</v>
      </c>
      <c r="O2" s="4" t="s">
        <v>10</v>
      </c>
      <c r="P2" s="4" t="s">
        <v>12</v>
      </c>
    </row>
    <row r="3" spans="1:20" x14ac:dyDescent="0.3">
      <c r="A3" s="7">
        <f>D3*12</f>
        <v>692388</v>
      </c>
      <c r="B3" s="15">
        <v>1</v>
      </c>
      <c r="C3" s="30">
        <v>3456</v>
      </c>
      <c r="D3" s="30">
        <v>57699</v>
      </c>
      <c r="E3" s="31">
        <f>IF(D3&gt;180000,D3/3,60000)</f>
        <v>60000</v>
      </c>
      <c r="F3" s="31">
        <f t="shared" ref="F3:F12" si="1">IF(D3&lt;220000,D3*5.6%,220000*5.6%)</f>
        <v>3231.1439999999998</v>
      </c>
      <c r="G3" s="31">
        <f>IF((D3-(E3+F3))&lt;0,0)</f>
        <v>0</v>
      </c>
      <c r="H3" s="31">
        <f t="shared" ref="H3:H12" si="2">IF(G3&lt;120000,G3*0.28,120000*0.28)</f>
        <v>0</v>
      </c>
      <c r="I3" s="32">
        <f t="shared" ref="I3:I12" si="3">IF(G3-120000&gt;0,(G3-120000)*40%,0)</f>
        <v>0</v>
      </c>
      <c r="J3" s="33">
        <f t="shared" ref="J3:J8" si="4">H3+I3</f>
        <v>0</v>
      </c>
      <c r="K3" s="3">
        <f t="shared" ref="K3:K13" si="5">D3-J3</f>
        <v>57699</v>
      </c>
      <c r="L3" s="3">
        <f t="shared" ref="L3:L13" si="6">E3*12</f>
        <v>720000</v>
      </c>
      <c r="M3" s="3">
        <f t="shared" ref="M3:M13" si="7">A3-L3</f>
        <v>-27612</v>
      </c>
      <c r="N3" s="3">
        <f t="shared" ref="N3:N13" si="8">(H3+I3)*12</f>
        <v>0</v>
      </c>
      <c r="O3" s="3">
        <f t="shared" ref="O3:O13" si="9">A3-N3</f>
        <v>692388</v>
      </c>
    </row>
    <row r="4" spans="1:20" x14ac:dyDescent="0.3">
      <c r="A4" s="3">
        <v>2190000</v>
      </c>
      <c r="B4" s="14">
        <v>2</v>
      </c>
      <c r="C4" s="34">
        <v>3516</v>
      </c>
      <c r="D4" s="31">
        <v>78286</v>
      </c>
      <c r="E4" s="31">
        <f t="shared" ref="E4:E12" si="10">IF(D4&gt;180000,D4/3,60000)</f>
        <v>60000</v>
      </c>
      <c r="F4" s="31">
        <f t="shared" si="1"/>
        <v>4384.0159999999996</v>
      </c>
      <c r="G4" s="31">
        <f>D4-(E4+F4)</f>
        <v>13901.983999999997</v>
      </c>
      <c r="H4" s="31">
        <f t="shared" si="2"/>
        <v>3892.5555199999994</v>
      </c>
      <c r="I4" s="32">
        <f t="shared" si="3"/>
        <v>0</v>
      </c>
      <c r="J4" s="33">
        <f t="shared" si="4"/>
        <v>3892.5555199999994</v>
      </c>
      <c r="K4" s="3">
        <f t="shared" si="5"/>
        <v>74393.444480000006</v>
      </c>
      <c r="L4" s="3">
        <f t="shared" si="6"/>
        <v>720000</v>
      </c>
      <c r="M4" s="3">
        <f t="shared" si="7"/>
        <v>1470000</v>
      </c>
      <c r="N4" s="3">
        <f t="shared" si="8"/>
        <v>46710.666239999991</v>
      </c>
      <c r="O4" s="3">
        <f t="shared" si="9"/>
        <v>2143289.3337599998</v>
      </c>
    </row>
    <row r="5" spans="1:20" x14ac:dyDescent="0.3">
      <c r="A5" s="3">
        <v>2160000</v>
      </c>
      <c r="B5" s="14">
        <v>3</v>
      </c>
      <c r="C5" s="38">
        <v>1756</v>
      </c>
      <c r="D5" s="38">
        <v>125000</v>
      </c>
      <c r="E5" s="38">
        <f t="shared" si="10"/>
        <v>60000</v>
      </c>
      <c r="F5" s="38">
        <f t="shared" si="1"/>
        <v>6999.9999999999991</v>
      </c>
      <c r="G5" s="38">
        <f>D5-(E5+F5)</f>
        <v>58000</v>
      </c>
      <c r="H5" s="38">
        <f t="shared" si="2"/>
        <v>16240.000000000002</v>
      </c>
      <c r="I5" s="39">
        <f t="shared" si="3"/>
        <v>0</v>
      </c>
      <c r="J5" s="40">
        <f t="shared" si="4"/>
        <v>16240.000000000002</v>
      </c>
      <c r="K5" s="3">
        <f t="shared" si="5"/>
        <v>108760</v>
      </c>
      <c r="L5" s="3">
        <f t="shared" si="6"/>
        <v>720000</v>
      </c>
      <c r="M5" s="3">
        <f t="shared" si="7"/>
        <v>1440000</v>
      </c>
      <c r="N5" s="3">
        <f t="shared" si="8"/>
        <v>194880.00000000003</v>
      </c>
      <c r="O5" s="3">
        <f t="shared" si="9"/>
        <v>1965120</v>
      </c>
    </row>
    <row r="6" spans="1:20" x14ac:dyDescent="0.3">
      <c r="A6" s="3">
        <v>4000000</v>
      </c>
      <c r="B6" s="14">
        <v>4</v>
      </c>
      <c r="C6" s="31">
        <v>3524</v>
      </c>
      <c r="D6" s="31">
        <v>260176</v>
      </c>
      <c r="E6" s="31">
        <f t="shared" si="10"/>
        <v>86725.333333333328</v>
      </c>
      <c r="F6" s="31">
        <f t="shared" si="1"/>
        <v>12319.999999999998</v>
      </c>
      <c r="G6" s="31">
        <f>D6-(E6+F6)</f>
        <v>161130.66666666669</v>
      </c>
      <c r="H6" s="31">
        <f t="shared" si="2"/>
        <v>33600</v>
      </c>
      <c r="I6" s="32">
        <f t="shared" si="3"/>
        <v>16452.266666666674</v>
      </c>
      <c r="J6" s="33">
        <f t="shared" si="4"/>
        <v>50052.266666666677</v>
      </c>
      <c r="K6" s="3">
        <f t="shared" si="5"/>
        <v>210123.73333333334</v>
      </c>
      <c r="L6" s="3">
        <f t="shared" si="6"/>
        <v>1040704</v>
      </c>
      <c r="M6" s="3">
        <f t="shared" si="7"/>
        <v>2959296</v>
      </c>
      <c r="N6" s="3">
        <f t="shared" si="8"/>
        <v>600627.20000000019</v>
      </c>
      <c r="O6" s="3">
        <f t="shared" si="9"/>
        <v>3399372.7999999998</v>
      </c>
    </row>
    <row r="7" spans="1:20" x14ac:dyDescent="0.3">
      <c r="A7" s="7">
        <f>D7*12</f>
        <v>4175304</v>
      </c>
      <c r="B7" s="15">
        <v>5</v>
      </c>
      <c r="C7" s="41">
        <v>2704</v>
      </c>
      <c r="D7" s="41">
        <f>416390-68448</f>
        <v>347942</v>
      </c>
      <c r="E7" s="38">
        <f t="shared" si="10"/>
        <v>115980.66666666667</v>
      </c>
      <c r="F7" s="38">
        <f t="shared" si="1"/>
        <v>12319.999999999998</v>
      </c>
      <c r="G7" s="38">
        <f>D7-(E7+F7)</f>
        <v>219641.33333333331</v>
      </c>
      <c r="H7" s="38">
        <f t="shared" si="2"/>
        <v>33600</v>
      </c>
      <c r="I7" s="39">
        <f t="shared" si="3"/>
        <v>39856.533333333326</v>
      </c>
      <c r="J7" s="40">
        <f t="shared" si="4"/>
        <v>73456.533333333326</v>
      </c>
      <c r="K7" s="3">
        <f t="shared" si="5"/>
        <v>274485.46666666667</v>
      </c>
      <c r="L7" s="3">
        <f t="shared" si="6"/>
        <v>1391768</v>
      </c>
      <c r="M7" s="3">
        <f t="shared" si="7"/>
        <v>2783536</v>
      </c>
      <c r="N7" s="3">
        <f t="shared" si="8"/>
        <v>881478.39999999991</v>
      </c>
      <c r="O7" s="3">
        <f t="shared" si="9"/>
        <v>3293825.6</v>
      </c>
      <c r="R7" s="7">
        <f>J7/D7</f>
        <v>0.211117178533587</v>
      </c>
    </row>
    <row r="8" spans="1:20" x14ac:dyDescent="0.3">
      <c r="A8" s="3">
        <v>2808000</v>
      </c>
      <c r="B8" s="14">
        <v>6</v>
      </c>
      <c r="C8" s="38">
        <v>2173</v>
      </c>
      <c r="D8" s="41">
        <v>982872</v>
      </c>
      <c r="E8" s="38">
        <f t="shared" si="10"/>
        <v>327624</v>
      </c>
      <c r="F8" s="38">
        <f t="shared" si="1"/>
        <v>12319.999999999998</v>
      </c>
      <c r="G8" s="38">
        <f>D8-(E8+F8)</f>
        <v>642928</v>
      </c>
      <c r="H8" s="38">
        <f t="shared" si="2"/>
        <v>33600</v>
      </c>
      <c r="I8" s="39">
        <f t="shared" si="3"/>
        <v>209171.20000000001</v>
      </c>
      <c r="J8" s="40">
        <f t="shared" si="4"/>
        <v>242771.20000000001</v>
      </c>
      <c r="K8" s="3">
        <f t="shared" si="5"/>
        <v>740100.8</v>
      </c>
      <c r="L8" s="3">
        <f t="shared" si="6"/>
        <v>3931488</v>
      </c>
      <c r="M8" s="3">
        <f t="shared" si="7"/>
        <v>-1123488</v>
      </c>
      <c r="N8" s="3">
        <f t="shared" si="8"/>
        <v>2913254.4000000004</v>
      </c>
      <c r="O8" s="3">
        <f t="shared" si="9"/>
        <v>-105254.40000000037</v>
      </c>
      <c r="R8">
        <f>242771/982872</f>
        <v>0.24700164416119291</v>
      </c>
    </row>
    <row r="9" spans="1:20" x14ac:dyDescent="0.3">
      <c r="A9" s="3">
        <v>12000000</v>
      </c>
      <c r="B9" s="14">
        <v>7</v>
      </c>
      <c r="C9" s="35">
        <v>2238</v>
      </c>
      <c r="D9" s="35">
        <v>53580</v>
      </c>
      <c r="E9" s="31">
        <f t="shared" si="10"/>
        <v>60000</v>
      </c>
      <c r="F9" s="31">
        <f t="shared" si="1"/>
        <v>3000.4799999999996</v>
      </c>
      <c r="G9" s="31">
        <f>IF((D9-(E9+F9))&lt;0,0)</f>
        <v>0</v>
      </c>
      <c r="H9" s="31">
        <f t="shared" si="2"/>
        <v>0</v>
      </c>
      <c r="I9" s="32">
        <f t="shared" si="3"/>
        <v>0</v>
      </c>
      <c r="J9" s="33" t="b">
        <f>IF((H9+I9)&lt;0,0)</f>
        <v>0</v>
      </c>
      <c r="K9" s="3">
        <f t="shared" si="5"/>
        <v>53580</v>
      </c>
      <c r="L9" s="3">
        <f t="shared" si="6"/>
        <v>720000</v>
      </c>
      <c r="M9" s="3">
        <f t="shared" si="7"/>
        <v>11280000</v>
      </c>
      <c r="N9" s="3">
        <f t="shared" si="8"/>
        <v>0</v>
      </c>
      <c r="O9" s="3">
        <f t="shared" si="9"/>
        <v>12000000</v>
      </c>
      <c r="S9">
        <f>0.28*120000</f>
        <v>33600</v>
      </c>
    </row>
    <row r="10" spans="1:20" x14ac:dyDescent="0.3">
      <c r="A10" s="7">
        <f>D10*12</f>
        <v>5056956</v>
      </c>
      <c r="B10" s="15">
        <v>8</v>
      </c>
      <c r="C10" s="36">
        <v>3302</v>
      </c>
      <c r="D10" s="36">
        <v>421413</v>
      </c>
      <c r="E10" s="31">
        <f t="shared" si="10"/>
        <v>140471</v>
      </c>
      <c r="F10" s="31">
        <f t="shared" si="1"/>
        <v>12319.999999999998</v>
      </c>
      <c r="G10" s="31">
        <f t="shared" ref="G10:G12" si="11">D10-(E10+F10)</f>
        <v>268622</v>
      </c>
      <c r="H10" s="31">
        <f t="shared" si="2"/>
        <v>33600</v>
      </c>
      <c r="I10" s="32">
        <f t="shared" si="3"/>
        <v>59448.800000000003</v>
      </c>
      <c r="J10" s="33">
        <f>H10+I10</f>
        <v>93048.8</v>
      </c>
      <c r="K10" s="3">
        <f t="shared" si="5"/>
        <v>328364.2</v>
      </c>
      <c r="L10" s="3">
        <f t="shared" si="6"/>
        <v>1685652</v>
      </c>
      <c r="M10" s="3">
        <f t="shared" si="7"/>
        <v>3371304</v>
      </c>
      <c r="N10" s="3">
        <f t="shared" si="8"/>
        <v>1116585.6000000001</v>
      </c>
      <c r="O10" s="3">
        <f t="shared" si="9"/>
        <v>3940370.4</v>
      </c>
      <c r="S10">
        <f>0.4*67000</f>
        <v>26800</v>
      </c>
    </row>
    <row r="11" spans="1:20" x14ac:dyDescent="0.3">
      <c r="A11" s="7">
        <f>D11*12</f>
        <v>3122112</v>
      </c>
      <c r="C11" s="30">
        <v>3396</v>
      </c>
      <c r="D11" s="30">
        <v>260176</v>
      </c>
      <c r="E11" s="31">
        <f t="shared" si="10"/>
        <v>86725.333333333328</v>
      </c>
      <c r="F11" s="31">
        <f t="shared" si="1"/>
        <v>12319.999999999998</v>
      </c>
      <c r="G11" s="31">
        <f t="shared" si="11"/>
        <v>161130.66666666669</v>
      </c>
      <c r="H11" s="31">
        <f t="shared" si="2"/>
        <v>33600</v>
      </c>
      <c r="I11" s="32">
        <f t="shared" si="3"/>
        <v>16452.266666666674</v>
      </c>
      <c r="J11" s="37">
        <f>H11+I11</f>
        <v>50052.266666666677</v>
      </c>
      <c r="K11" s="3">
        <f t="shared" si="5"/>
        <v>210123.73333333334</v>
      </c>
      <c r="L11" s="3">
        <f t="shared" si="6"/>
        <v>1040704</v>
      </c>
      <c r="M11" s="3">
        <f t="shared" si="7"/>
        <v>2081408</v>
      </c>
      <c r="N11" s="3">
        <f t="shared" si="8"/>
        <v>600627.20000000019</v>
      </c>
      <c r="O11" s="3">
        <f t="shared" si="9"/>
        <v>2521484.7999999998</v>
      </c>
    </row>
    <row r="12" spans="1:20" x14ac:dyDescent="0.3">
      <c r="A12" s="7">
        <f>D12*12</f>
        <v>2852316</v>
      </c>
      <c r="D12" s="15">
        <v>237693</v>
      </c>
      <c r="E12" s="14">
        <f t="shared" si="10"/>
        <v>79231</v>
      </c>
      <c r="F12" s="14">
        <f t="shared" si="1"/>
        <v>12319.999999999998</v>
      </c>
      <c r="G12" s="14">
        <f t="shared" si="11"/>
        <v>146142</v>
      </c>
      <c r="H12" s="14">
        <f t="shared" si="2"/>
        <v>33600</v>
      </c>
      <c r="I12" s="3">
        <f t="shared" si="3"/>
        <v>10456.800000000001</v>
      </c>
      <c r="J12" s="20">
        <f>H12+I12</f>
        <v>44056.800000000003</v>
      </c>
      <c r="K12" s="3">
        <f t="shared" si="5"/>
        <v>193636.2</v>
      </c>
      <c r="L12" s="3">
        <f t="shared" si="6"/>
        <v>950772</v>
      </c>
      <c r="M12" s="3">
        <f t="shared" si="7"/>
        <v>1901544</v>
      </c>
      <c r="N12" s="3">
        <f t="shared" si="8"/>
        <v>528681.60000000009</v>
      </c>
      <c r="O12" s="3">
        <f t="shared" si="9"/>
        <v>2323634.4</v>
      </c>
    </row>
    <row r="13" spans="1:20" x14ac:dyDescent="0.3">
      <c r="A13" s="7">
        <f>D13*12</f>
        <v>0</v>
      </c>
      <c r="E13" s="14"/>
      <c r="F13" s="14"/>
      <c r="G13" s="14"/>
      <c r="H13" s="14"/>
      <c r="I13" s="3"/>
      <c r="K13" s="3">
        <f t="shared" si="5"/>
        <v>0</v>
      </c>
      <c r="L13" s="3">
        <f t="shared" si="6"/>
        <v>0</v>
      </c>
      <c r="M13" s="3">
        <f t="shared" si="7"/>
        <v>0</v>
      </c>
      <c r="N13" s="3">
        <f t="shared" si="8"/>
        <v>0</v>
      </c>
      <c r="O13" s="3">
        <f t="shared" si="9"/>
        <v>0</v>
      </c>
      <c r="S13">
        <v>187000</v>
      </c>
    </row>
    <row r="14" spans="1:20" x14ac:dyDescent="0.3">
      <c r="A14" s="7">
        <f>D14*12</f>
        <v>0</v>
      </c>
      <c r="E14" s="14"/>
      <c r="F14" s="14"/>
      <c r="G14" s="14"/>
      <c r="H14" s="14"/>
      <c r="I14" s="3"/>
      <c r="T14">
        <f>60672/(300000-12320)</f>
        <v>0.21090100111234705</v>
      </c>
    </row>
    <row r="15" spans="1:20" x14ac:dyDescent="0.3">
      <c r="E15" s="14"/>
      <c r="F15" s="14"/>
      <c r="G15" s="14"/>
      <c r="H15" s="14"/>
    </row>
    <row r="16" spans="1:20" x14ac:dyDescent="0.3">
      <c r="A16">
        <v>123080</v>
      </c>
      <c r="E16" s="14"/>
      <c r="F16" s="14"/>
      <c r="G16" s="14"/>
      <c r="H16" s="14"/>
    </row>
    <row r="17" spans="5:13" x14ac:dyDescent="0.3">
      <c r="E17" s="14"/>
      <c r="F17" s="14"/>
    </row>
    <row r="19" spans="5:13" x14ac:dyDescent="0.3">
      <c r="K19" s="6"/>
    </row>
    <row r="20" spans="5:13" x14ac:dyDescent="0.3">
      <c r="K20" s="7"/>
      <c r="L20" s="7"/>
      <c r="M20" s="7"/>
    </row>
    <row r="24" spans="5:13" x14ac:dyDescent="0.3">
      <c r="E24" s="18"/>
      <c r="M24" s="6"/>
    </row>
    <row r="25" spans="5:13" x14ac:dyDescent="0.3">
      <c r="E25" s="18"/>
      <c r="M25" s="7"/>
    </row>
    <row r="26" spans="5:13" x14ac:dyDescent="0.3">
      <c r="E26" s="18"/>
    </row>
  </sheetData>
  <autoFilter ref="A2:P2">
    <sortState ref="A3:P16">
      <sortCondition ref="B2"/>
    </sortState>
  </autoFilter>
  <pageMargins left="0.7" right="0.7" top="0.75" bottom="0.75" header="0.3" footer="0.3"/>
  <pageSetup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opLeftCell="B1" workbookViewId="0">
      <selection activeCell="D4" sqref="D4"/>
    </sheetView>
  </sheetViews>
  <sheetFormatPr defaultRowHeight="18.75" x14ac:dyDescent="0.3"/>
  <cols>
    <col min="1" max="1" width="14.85546875" hidden="1" customWidth="1"/>
    <col min="2" max="3" width="14.85546875" style="15" customWidth="1"/>
    <col min="4" max="4" width="16.5703125" style="15" customWidth="1"/>
    <col min="5" max="5" width="15.7109375" style="15" customWidth="1"/>
    <col min="6" max="6" width="10.28515625" style="15" customWidth="1"/>
    <col min="7" max="7" width="13.7109375" style="25" customWidth="1"/>
    <col min="8" max="8" width="13.28515625" hidden="1" customWidth="1"/>
    <col min="9" max="9" width="21.28515625" style="20" hidden="1" customWidth="1"/>
    <col min="10" max="10" width="15.42578125" hidden="1" customWidth="1"/>
    <col min="11" max="11" width="15.7109375" hidden="1" customWidth="1"/>
    <col min="12" max="12" width="17.42578125" hidden="1" customWidth="1"/>
    <col min="13" max="13" width="13.42578125" hidden="1" customWidth="1"/>
    <col min="14" max="14" width="11" hidden="1" customWidth="1"/>
    <col min="15" max="15" width="0" hidden="1" customWidth="1"/>
    <col min="16" max="16" width="13.42578125" customWidth="1"/>
  </cols>
  <sheetData>
    <row r="1" spans="1:17" x14ac:dyDescent="0.3">
      <c r="A1" s="1">
        <v>2017</v>
      </c>
      <c r="B1" s="12"/>
      <c r="C1" s="12"/>
      <c r="D1" s="12"/>
      <c r="E1" s="12"/>
      <c r="F1" s="12"/>
      <c r="G1" s="24">
        <f t="shared" ref="G1" si="0">D1-(E1+F1)</f>
        <v>0</v>
      </c>
      <c r="H1" s="3">
        <f>IF(G1&lt;120000,0,(G1-120000)*0.4)</f>
        <v>0</v>
      </c>
      <c r="J1" s="1"/>
      <c r="K1" s="3"/>
      <c r="L1" s="3"/>
      <c r="M1" s="1"/>
      <c r="N1" s="1">
        <v>2017</v>
      </c>
    </row>
    <row r="2" spans="1:17" x14ac:dyDescent="0.3">
      <c r="A2" s="4" t="s">
        <v>0</v>
      </c>
      <c r="B2" s="13"/>
      <c r="C2" s="13" t="s">
        <v>13</v>
      </c>
      <c r="D2" s="13" t="s">
        <v>1</v>
      </c>
      <c r="E2" s="13" t="s">
        <v>2</v>
      </c>
      <c r="F2" s="13" t="s">
        <v>3</v>
      </c>
      <c r="G2" s="24" t="s">
        <v>14</v>
      </c>
      <c r="H2" s="3"/>
      <c r="I2" s="21" t="s">
        <v>5</v>
      </c>
      <c r="J2" s="4" t="s">
        <v>6</v>
      </c>
      <c r="K2" s="5" t="s">
        <v>7</v>
      </c>
      <c r="L2" s="5" t="s">
        <v>8</v>
      </c>
      <c r="M2" s="4" t="s">
        <v>9</v>
      </c>
      <c r="N2" s="4" t="s">
        <v>10</v>
      </c>
      <c r="O2" s="4" t="s">
        <v>12</v>
      </c>
    </row>
    <row r="3" spans="1:17" x14ac:dyDescent="0.3">
      <c r="A3" s="7">
        <f>D3*12</f>
        <v>450936</v>
      </c>
      <c r="B3" s="15">
        <v>1</v>
      </c>
      <c r="C3" s="15">
        <v>3456</v>
      </c>
      <c r="D3" s="15">
        <v>37578</v>
      </c>
      <c r="E3" s="14">
        <v>55000</v>
      </c>
      <c r="F3" s="14">
        <f>IF(D3&lt;200000,D3*0.056,11200)</f>
        <v>2104.3679999999999</v>
      </c>
      <c r="G3" s="24"/>
      <c r="H3" s="3"/>
      <c r="I3" s="21"/>
      <c r="J3" s="3">
        <f t="shared" ref="J3:J13" si="1">D3-I3</f>
        <v>37578</v>
      </c>
      <c r="K3" s="3">
        <f t="shared" ref="K3:K13" si="2">E3*12</f>
        <v>660000</v>
      </c>
      <c r="L3" s="3">
        <f t="shared" ref="L3:L13" si="3">A3-K3</f>
        <v>-209064</v>
      </c>
      <c r="M3" s="3" t="e">
        <f>(#REF!+H3)*12</f>
        <v>#REF!</v>
      </c>
      <c r="N3" s="3" t="e">
        <f t="shared" ref="N3:N13" si="4">A3-M3</f>
        <v>#REF!</v>
      </c>
    </row>
    <row r="4" spans="1:17" x14ac:dyDescent="0.3">
      <c r="A4" s="3">
        <v>2190000</v>
      </c>
      <c r="B4" s="14">
        <v>2</v>
      </c>
      <c r="C4" s="17">
        <v>3516</v>
      </c>
      <c r="D4" s="14">
        <v>78286</v>
      </c>
      <c r="E4" s="14">
        <v>55000</v>
      </c>
      <c r="F4" s="14">
        <f t="shared" ref="F4:F12" si="5">IF(D4&lt;200000,D4*0.056,11200)</f>
        <v>4384.0160000000005</v>
      </c>
      <c r="G4" s="24">
        <f>(D4-F4)-E4</f>
        <v>18901.983999999997</v>
      </c>
      <c r="H4" s="3"/>
      <c r="I4" s="21"/>
      <c r="J4" s="3">
        <f t="shared" si="1"/>
        <v>78286</v>
      </c>
      <c r="K4" s="3">
        <f t="shared" si="2"/>
        <v>660000</v>
      </c>
      <c r="L4" s="3">
        <f t="shared" si="3"/>
        <v>1530000</v>
      </c>
      <c r="M4" s="3" t="e">
        <f>(#REF!+H4)*12</f>
        <v>#REF!</v>
      </c>
      <c r="N4" s="3" t="e">
        <f t="shared" si="4"/>
        <v>#REF!</v>
      </c>
      <c r="P4" s="26">
        <f>G4*0.3</f>
        <v>5670.5951999999988</v>
      </c>
    </row>
    <row r="5" spans="1:17" x14ac:dyDescent="0.3">
      <c r="A5" s="3">
        <v>2160000</v>
      </c>
      <c r="B5" s="14">
        <v>3</v>
      </c>
      <c r="C5" s="14">
        <v>1756</v>
      </c>
      <c r="D5" s="14">
        <v>163164</v>
      </c>
      <c r="E5" s="14">
        <v>55000</v>
      </c>
      <c r="F5" s="14">
        <f t="shared" si="5"/>
        <v>9137.1839999999993</v>
      </c>
      <c r="G5" s="24">
        <f t="shared" ref="G5:G12" si="6">(D5-F5)-E5</f>
        <v>99026.815999999992</v>
      </c>
      <c r="H5" s="3"/>
      <c r="I5" s="21"/>
      <c r="J5" s="3">
        <f t="shared" si="1"/>
        <v>163164</v>
      </c>
      <c r="K5" s="3">
        <f t="shared" si="2"/>
        <v>660000</v>
      </c>
      <c r="L5" s="3">
        <f t="shared" si="3"/>
        <v>1500000</v>
      </c>
      <c r="M5" s="3" t="e">
        <f>(#REF!+H5)*12</f>
        <v>#REF!</v>
      </c>
      <c r="N5" s="3" t="e">
        <f t="shared" si="4"/>
        <v>#REF!</v>
      </c>
      <c r="P5" s="26">
        <f t="shared" ref="P5:P12" si="7">G5*0.3</f>
        <v>29708.044799999996</v>
      </c>
    </row>
    <row r="6" spans="1:17" x14ac:dyDescent="0.3">
      <c r="A6" s="3">
        <v>4000000</v>
      </c>
      <c r="B6" s="14">
        <v>4</v>
      </c>
      <c r="C6" s="14">
        <v>3524</v>
      </c>
      <c r="D6" s="14">
        <v>260176</v>
      </c>
      <c r="E6" s="14">
        <v>55000</v>
      </c>
      <c r="F6" s="14">
        <f t="shared" si="5"/>
        <v>11200</v>
      </c>
      <c r="G6" s="24">
        <f t="shared" si="6"/>
        <v>193976</v>
      </c>
      <c r="H6" s="3"/>
      <c r="I6" s="21"/>
      <c r="J6" s="3">
        <f t="shared" si="1"/>
        <v>260176</v>
      </c>
      <c r="K6" s="3">
        <f t="shared" si="2"/>
        <v>660000</v>
      </c>
      <c r="L6" s="3">
        <f t="shared" si="3"/>
        <v>3340000</v>
      </c>
      <c r="M6" s="3" t="e">
        <f>(#REF!+H6)*12</f>
        <v>#REF!</v>
      </c>
      <c r="N6" s="3" t="e">
        <f t="shared" si="4"/>
        <v>#REF!</v>
      </c>
      <c r="P6" s="26">
        <f t="shared" si="7"/>
        <v>58192.799999999996</v>
      </c>
    </row>
    <row r="7" spans="1:17" x14ac:dyDescent="0.3">
      <c r="A7" s="7">
        <f>D7*12</f>
        <v>4996680</v>
      </c>
      <c r="B7" s="15">
        <v>5</v>
      </c>
      <c r="C7" s="15">
        <v>2704</v>
      </c>
      <c r="D7" s="15">
        <v>416390</v>
      </c>
      <c r="E7" s="14">
        <v>55000</v>
      </c>
      <c r="F7" s="14">
        <f t="shared" si="5"/>
        <v>11200</v>
      </c>
      <c r="G7" s="24">
        <f t="shared" si="6"/>
        <v>350190</v>
      </c>
      <c r="H7" s="3"/>
      <c r="I7" s="21"/>
      <c r="J7" s="3">
        <f t="shared" si="1"/>
        <v>416390</v>
      </c>
      <c r="K7" s="3">
        <f t="shared" si="2"/>
        <v>660000</v>
      </c>
      <c r="L7" s="3">
        <f t="shared" si="3"/>
        <v>4336680</v>
      </c>
      <c r="M7" s="3" t="e">
        <f>(#REF!+H7)*12</f>
        <v>#REF!</v>
      </c>
      <c r="N7" s="3" t="e">
        <f t="shared" si="4"/>
        <v>#REF!</v>
      </c>
      <c r="P7" s="26">
        <f t="shared" si="7"/>
        <v>105057</v>
      </c>
    </row>
    <row r="8" spans="1:17" x14ac:dyDescent="0.3">
      <c r="A8" s="3">
        <v>2808000</v>
      </c>
      <c r="B8" s="14">
        <v>6</v>
      </c>
      <c r="C8" s="14">
        <v>2173</v>
      </c>
      <c r="D8" s="12">
        <v>982872</v>
      </c>
      <c r="E8" s="14">
        <v>55000</v>
      </c>
      <c r="F8" s="14">
        <f t="shared" si="5"/>
        <v>11200</v>
      </c>
      <c r="G8" s="24">
        <f t="shared" si="6"/>
        <v>916672</v>
      </c>
      <c r="H8" s="3"/>
      <c r="I8" s="21"/>
      <c r="J8" s="3">
        <f t="shared" si="1"/>
        <v>982872</v>
      </c>
      <c r="K8" s="3">
        <f t="shared" si="2"/>
        <v>660000</v>
      </c>
      <c r="L8" s="3">
        <f t="shared" si="3"/>
        <v>2148000</v>
      </c>
      <c r="M8" s="3" t="e">
        <f>(#REF!+H8)*12</f>
        <v>#REF!</v>
      </c>
      <c r="N8" s="3" t="e">
        <f t="shared" si="4"/>
        <v>#REF!</v>
      </c>
      <c r="P8" s="26">
        <f t="shared" si="7"/>
        <v>275001.59999999998</v>
      </c>
    </row>
    <row r="9" spans="1:17" x14ac:dyDescent="0.3">
      <c r="A9" s="3">
        <v>12000000</v>
      </c>
      <c r="B9" s="14">
        <v>7</v>
      </c>
      <c r="C9" s="16">
        <v>2238</v>
      </c>
      <c r="D9" s="16">
        <v>53580</v>
      </c>
      <c r="E9" s="14">
        <v>55000</v>
      </c>
      <c r="F9" s="14">
        <f t="shared" si="5"/>
        <v>3000.48</v>
      </c>
      <c r="G9" s="24">
        <f t="shared" si="6"/>
        <v>-4420.4800000000032</v>
      </c>
      <c r="H9" s="3"/>
      <c r="I9" s="21"/>
      <c r="J9" s="3">
        <f t="shared" si="1"/>
        <v>53580</v>
      </c>
      <c r="K9" s="3">
        <f t="shared" si="2"/>
        <v>660000</v>
      </c>
      <c r="L9" s="3">
        <f t="shared" si="3"/>
        <v>11340000</v>
      </c>
      <c r="M9" s="3" t="e">
        <f>(#REF!+H9)*12</f>
        <v>#REF!</v>
      </c>
      <c r="N9" s="3" t="e">
        <f t="shared" si="4"/>
        <v>#REF!</v>
      </c>
      <c r="P9" s="26">
        <f t="shared" si="7"/>
        <v>-1326.1440000000009</v>
      </c>
      <c r="Q9">
        <f>200000*0.056</f>
        <v>11200</v>
      </c>
    </row>
    <row r="10" spans="1:17" x14ac:dyDescent="0.3">
      <c r="A10" s="7">
        <f>D10*12</f>
        <v>5056956</v>
      </c>
      <c r="B10" s="15">
        <v>8</v>
      </c>
      <c r="C10" s="19">
        <v>3302</v>
      </c>
      <c r="D10" s="19">
        <v>421413</v>
      </c>
      <c r="E10" s="14">
        <v>55000</v>
      </c>
      <c r="F10" s="14">
        <f t="shared" si="5"/>
        <v>11200</v>
      </c>
      <c r="G10" s="24">
        <f t="shared" si="6"/>
        <v>355213</v>
      </c>
      <c r="H10" s="3"/>
      <c r="I10" s="21"/>
      <c r="J10" s="3">
        <f t="shared" si="1"/>
        <v>421413</v>
      </c>
      <c r="K10" s="3">
        <f t="shared" si="2"/>
        <v>660000</v>
      </c>
      <c r="L10" s="3">
        <f t="shared" si="3"/>
        <v>4396956</v>
      </c>
      <c r="M10" s="3" t="e">
        <f>(#REF!+H10)*12</f>
        <v>#REF!</v>
      </c>
      <c r="N10" s="3" t="e">
        <f t="shared" si="4"/>
        <v>#REF!</v>
      </c>
      <c r="P10" s="26">
        <f t="shared" si="7"/>
        <v>106563.9</v>
      </c>
    </row>
    <row r="11" spans="1:17" x14ac:dyDescent="0.3">
      <c r="A11" s="7">
        <f>D11*12</f>
        <v>2852316</v>
      </c>
      <c r="D11" s="15">
        <v>237693</v>
      </c>
      <c r="E11" s="14">
        <v>55000</v>
      </c>
      <c r="F11" s="14">
        <f t="shared" si="5"/>
        <v>11200</v>
      </c>
      <c r="G11" s="24">
        <f t="shared" si="6"/>
        <v>171493</v>
      </c>
      <c r="H11" s="3">
        <f>IF(G11-120000&gt;0,(G11-120000)*40%,0)</f>
        <v>20597.2</v>
      </c>
      <c r="I11" s="20" t="e">
        <f>#REF!+H11</f>
        <v>#REF!</v>
      </c>
      <c r="J11" s="3" t="e">
        <f t="shared" si="1"/>
        <v>#REF!</v>
      </c>
      <c r="K11" s="3">
        <f t="shared" si="2"/>
        <v>660000</v>
      </c>
      <c r="L11" s="3">
        <f t="shared" si="3"/>
        <v>2192316</v>
      </c>
      <c r="M11" s="3" t="e">
        <f>(#REF!+H11)*12</f>
        <v>#REF!</v>
      </c>
      <c r="N11" s="3" t="e">
        <f t="shared" si="4"/>
        <v>#REF!</v>
      </c>
      <c r="P11" s="26">
        <f t="shared" si="7"/>
        <v>51447.9</v>
      </c>
    </row>
    <row r="12" spans="1:17" x14ac:dyDescent="0.3">
      <c r="A12" s="7">
        <f>D12*12</f>
        <v>3122112</v>
      </c>
      <c r="C12" s="15">
        <v>3396</v>
      </c>
      <c r="D12" s="15">
        <v>260176</v>
      </c>
      <c r="E12" s="14">
        <v>55000</v>
      </c>
      <c r="F12" s="14">
        <f t="shared" si="5"/>
        <v>11200</v>
      </c>
      <c r="G12" s="24">
        <f t="shared" si="6"/>
        <v>193976</v>
      </c>
      <c r="H12" s="3">
        <f>IF(G12-120000&gt;0,(G12-120000)*40%,0)</f>
        <v>29590.400000000001</v>
      </c>
      <c r="I12" s="20" t="e">
        <f>#REF!+H12</f>
        <v>#REF!</v>
      </c>
      <c r="J12" s="3" t="e">
        <f t="shared" si="1"/>
        <v>#REF!</v>
      </c>
      <c r="K12" s="3">
        <f t="shared" si="2"/>
        <v>660000</v>
      </c>
      <c r="L12" s="3">
        <f t="shared" si="3"/>
        <v>2462112</v>
      </c>
      <c r="M12" s="3" t="e">
        <f>(#REF!+H12)*12</f>
        <v>#REF!</v>
      </c>
      <c r="N12" s="3" t="e">
        <f t="shared" si="4"/>
        <v>#REF!</v>
      </c>
      <c r="P12" s="26">
        <f t="shared" si="7"/>
        <v>58192.799999999996</v>
      </c>
    </row>
    <row r="13" spans="1:17" x14ac:dyDescent="0.3">
      <c r="A13" s="7">
        <f>D13*12</f>
        <v>0</v>
      </c>
      <c r="E13" s="14"/>
      <c r="F13" s="14"/>
      <c r="G13" s="24">
        <f t="shared" ref="G13:G16" si="8">D13-(E13+F13)</f>
        <v>0</v>
      </c>
      <c r="H13" s="3">
        <f>IF(G13-120000&gt;0,(G13-120000)*40%,0)</f>
        <v>0</v>
      </c>
      <c r="I13" s="20" t="e">
        <f>#REF!+H13</f>
        <v>#REF!</v>
      </c>
      <c r="J13" s="3" t="e">
        <f t="shared" si="1"/>
        <v>#REF!</v>
      </c>
      <c r="K13" s="3">
        <f t="shared" si="2"/>
        <v>0</v>
      </c>
      <c r="L13" s="3">
        <f t="shared" si="3"/>
        <v>0</v>
      </c>
      <c r="M13" s="3" t="e">
        <f>(#REF!+H13)*12</f>
        <v>#REF!</v>
      </c>
      <c r="N13" s="3" t="e">
        <f t="shared" si="4"/>
        <v>#REF!</v>
      </c>
    </row>
    <row r="14" spans="1:17" x14ac:dyDescent="0.3">
      <c r="A14" s="7">
        <f>D14*12</f>
        <v>0</v>
      </c>
      <c r="E14" s="14"/>
      <c r="F14" s="14"/>
      <c r="G14" s="24">
        <f t="shared" si="8"/>
        <v>0</v>
      </c>
      <c r="H14" s="3">
        <f>IF(G14-120000&gt;0,(G14-120000)*40%,0)</f>
        <v>0</v>
      </c>
      <c r="I14" s="20" t="e">
        <f>#REF!+H14</f>
        <v>#REF!</v>
      </c>
    </row>
    <row r="15" spans="1:17" x14ac:dyDescent="0.3">
      <c r="G15" s="24">
        <f t="shared" si="8"/>
        <v>0</v>
      </c>
      <c r="Q15">
        <f>(D4*12)/365</f>
        <v>2573.7863013698629</v>
      </c>
    </row>
    <row r="16" spans="1:17" x14ac:dyDescent="0.3">
      <c r="A16">
        <v>123080</v>
      </c>
      <c r="G16" s="24">
        <f t="shared" si="8"/>
        <v>0</v>
      </c>
      <c r="Q16">
        <f>Q15*10</f>
        <v>25737.863013698628</v>
      </c>
    </row>
    <row r="19" spans="5:12" x14ac:dyDescent="0.3">
      <c r="G19" s="25">
        <v>3224</v>
      </c>
      <c r="J19" s="6"/>
    </row>
    <row r="20" spans="5:12" x14ac:dyDescent="0.3">
      <c r="G20" s="25">
        <v>3524</v>
      </c>
      <c r="J20" s="7"/>
      <c r="K20" s="7"/>
      <c r="L20" s="7"/>
    </row>
    <row r="22" spans="5:12" x14ac:dyDescent="0.3">
      <c r="G22" s="25">
        <v>3516</v>
      </c>
    </row>
    <row r="23" spans="5:12" x14ac:dyDescent="0.3">
      <c r="G23" s="25">
        <v>2238</v>
      </c>
    </row>
    <row r="24" spans="5:12" x14ac:dyDescent="0.3">
      <c r="E24" s="18"/>
      <c r="G24" s="25">
        <v>1756</v>
      </c>
      <c r="L24" s="6"/>
    </row>
    <row r="25" spans="5:12" x14ac:dyDescent="0.3">
      <c r="E25" s="18"/>
      <c r="G25" s="25">
        <v>3541</v>
      </c>
      <c r="L25" s="7"/>
    </row>
    <row r="26" spans="5:12" x14ac:dyDescent="0.3">
      <c r="E26" s="18"/>
    </row>
  </sheetData>
  <autoFilter ref="A2:O2">
    <sortState ref="A3:O16">
      <sortCondition ref="B2"/>
    </sortState>
  </autoFilter>
  <pageMargins left="0.7" right="0.7" top="0.75" bottom="0.75" header="0.3" footer="0.3"/>
  <pageSetup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B16" sqref="B16"/>
    </sheetView>
  </sheetViews>
  <sheetFormatPr defaultRowHeight="15" x14ac:dyDescent="0.25"/>
  <cols>
    <col min="1" max="1" width="12.42578125" bestFit="1" customWidth="1"/>
    <col min="2" max="2" width="12.5703125" style="15" bestFit="1" customWidth="1"/>
    <col min="3" max="3" width="10.140625" style="15" bestFit="1" customWidth="1"/>
    <col min="4" max="4" width="11.140625" style="15" bestFit="1" customWidth="1"/>
    <col min="5" max="5" width="12.5703125" style="15" bestFit="1" customWidth="1"/>
    <col min="6" max="6" width="12.85546875" style="15" customWidth="1"/>
    <col min="7" max="7" width="12.5703125" style="15" bestFit="1" customWidth="1"/>
    <col min="8" max="9" width="8.85546875" style="15"/>
  </cols>
  <sheetData>
    <row r="1" spans="1:7" x14ac:dyDescent="0.25">
      <c r="A1" t="s">
        <v>26</v>
      </c>
      <c r="B1" s="15" t="s">
        <v>16</v>
      </c>
    </row>
    <row r="2" spans="1:7" x14ac:dyDescent="0.25">
      <c r="B2" s="15" t="s">
        <v>15</v>
      </c>
      <c r="C2" s="23" t="s">
        <v>17</v>
      </c>
      <c r="D2" s="23" t="s">
        <v>18</v>
      </c>
      <c r="E2" s="23" t="s">
        <v>14</v>
      </c>
      <c r="F2" s="23" t="s">
        <v>19</v>
      </c>
      <c r="G2" s="23" t="s">
        <v>20</v>
      </c>
    </row>
    <row r="3" spans="1:7" x14ac:dyDescent="0.25">
      <c r="B3" s="27">
        <v>5918</v>
      </c>
      <c r="C3" s="27">
        <f>B3*0.056</f>
        <v>331.40800000000002</v>
      </c>
      <c r="D3" s="27">
        <f>(60000*12)/365</f>
        <v>1972.6027397260275</v>
      </c>
      <c r="E3" s="27">
        <f>(B3-(D3+C3))</f>
        <v>3613.9892602739724</v>
      </c>
      <c r="F3" s="27">
        <f>0.28*E3</f>
        <v>1011.9169928767124</v>
      </c>
      <c r="G3" s="27">
        <f>(B3-(F3+C3))</f>
        <v>4574.6750071232873</v>
      </c>
    </row>
    <row r="4" spans="1:7" x14ac:dyDescent="0.25">
      <c r="B4" s="27"/>
      <c r="C4" s="27"/>
      <c r="D4" s="27"/>
      <c r="E4" s="27"/>
      <c r="F4" s="27"/>
      <c r="G4" s="27"/>
    </row>
    <row r="5" spans="1:7" x14ac:dyDescent="0.25">
      <c r="B5" s="27" t="s">
        <v>21</v>
      </c>
      <c r="C5" s="27"/>
      <c r="D5" s="27"/>
      <c r="E5" s="27"/>
      <c r="F5" s="27"/>
      <c r="G5" s="27"/>
    </row>
    <row r="6" spans="1:7" x14ac:dyDescent="0.25">
      <c r="B6" s="27">
        <v>41538</v>
      </c>
      <c r="C6" s="27">
        <f>B6*0.056</f>
        <v>2326.1280000000002</v>
      </c>
      <c r="D6" s="27">
        <f>(60000*12)/52</f>
        <v>13846.153846153846</v>
      </c>
      <c r="E6" s="27">
        <f>(B6-(D6+C6))</f>
        <v>25365.718153846152</v>
      </c>
      <c r="F6" s="27">
        <f>0.28*E6</f>
        <v>7102.401083076923</v>
      </c>
      <c r="G6" s="27">
        <f>(B6-(F6+C6))</f>
        <v>32109.470916923077</v>
      </c>
    </row>
    <row r="7" spans="1:7" x14ac:dyDescent="0.25">
      <c r="B7" s="27"/>
      <c r="C7" s="27"/>
      <c r="D7" s="27"/>
      <c r="E7" s="27"/>
      <c r="F7" s="27"/>
      <c r="G7" s="27"/>
    </row>
    <row r="8" spans="1:7" x14ac:dyDescent="0.25">
      <c r="B8" s="27" t="s">
        <v>22</v>
      </c>
      <c r="C8" s="27"/>
      <c r="D8" s="27"/>
      <c r="E8" s="27"/>
      <c r="F8" s="27"/>
      <c r="G8" s="27"/>
    </row>
    <row r="9" spans="1:7" x14ac:dyDescent="0.25">
      <c r="B9" s="27">
        <v>83077</v>
      </c>
      <c r="C9" s="27">
        <f>B9*0.056</f>
        <v>4652.3119999999999</v>
      </c>
      <c r="D9" s="27">
        <f>(60000*12)/26</f>
        <v>27692.307692307691</v>
      </c>
      <c r="E9" s="27">
        <f>(B9-(D9+C9))</f>
        <v>50732.380307692307</v>
      </c>
      <c r="F9" s="27">
        <f>0.28*E9</f>
        <v>14205.066486153848</v>
      </c>
      <c r="G9" s="27">
        <f>(B9-(F9+C9))</f>
        <v>64219.621513846156</v>
      </c>
    </row>
    <row r="10" spans="1:7" x14ac:dyDescent="0.25">
      <c r="B10" s="27"/>
      <c r="C10" s="27"/>
      <c r="D10" s="27"/>
      <c r="E10" s="27"/>
      <c r="F10" s="27"/>
      <c r="G10" s="27"/>
    </row>
    <row r="11" spans="1:7" x14ac:dyDescent="0.25">
      <c r="B11" s="27" t="s">
        <v>23</v>
      </c>
      <c r="C11" s="27"/>
      <c r="D11" s="27"/>
      <c r="E11" s="27"/>
      <c r="F11" s="27"/>
      <c r="G11" s="27"/>
    </row>
    <row r="12" spans="1:7" x14ac:dyDescent="0.25">
      <c r="B12" s="27">
        <v>180000</v>
      </c>
      <c r="C12" s="27">
        <f>B12*0.056</f>
        <v>10080</v>
      </c>
      <c r="D12" s="27">
        <f>(60000*12)/12</f>
        <v>60000</v>
      </c>
      <c r="E12" s="27">
        <f>(B12-(D12+C12))</f>
        <v>109920</v>
      </c>
      <c r="F12" s="27">
        <f>0.28*E12</f>
        <v>30777.600000000002</v>
      </c>
      <c r="G12" s="27">
        <f>(B12-(F12+C12))</f>
        <v>139142.39999999999</v>
      </c>
    </row>
    <row r="13" spans="1:7" x14ac:dyDescent="0.25">
      <c r="B13" s="27"/>
      <c r="C13" s="27"/>
      <c r="D13" s="27"/>
      <c r="E13" s="27"/>
      <c r="F13" s="27"/>
      <c r="G13" s="27"/>
    </row>
    <row r="14" spans="1:7" x14ac:dyDescent="0.25">
      <c r="B14" s="27" t="s">
        <v>24</v>
      </c>
      <c r="C14" s="27"/>
      <c r="D14" s="27"/>
      <c r="E14" s="27"/>
      <c r="F14" s="27"/>
      <c r="G14" s="27"/>
    </row>
    <row r="15" spans="1:7" x14ac:dyDescent="0.25">
      <c r="B15" s="27">
        <v>2390000</v>
      </c>
      <c r="C15" s="27">
        <f>B15*0.056</f>
        <v>133840</v>
      </c>
      <c r="D15" s="27">
        <f>(60000*12)</f>
        <v>720000</v>
      </c>
      <c r="E15" s="27">
        <f>(B15-(D15+C15))</f>
        <v>1536160</v>
      </c>
      <c r="F15" s="27">
        <f>0.28*E15</f>
        <v>430124.80000000005</v>
      </c>
      <c r="G15" s="27">
        <f>(B15-(F15+C15))</f>
        <v>1826035.2</v>
      </c>
    </row>
    <row r="19" spans="1:7" x14ac:dyDescent="0.25">
      <c r="A19" t="s">
        <v>27</v>
      </c>
      <c r="B19" s="15" t="s">
        <v>25</v>
      </c>
    </row>
    <row r="20" spans="1:7" x14ac:dyDescent="0.25">
      <c r="B20" s="15" t="s">
        <v>15</v>
      </c>
      <c r="C20" s="23" t="s">
        <v>17</v>
      </c>
      <c r="D20" s="23" t="s">
        <v>18</v>
      </c>
      <c r="E20" s="23" t="s">
        <v>14</v>
      </c>
      <c r="F20" s="23" t="s">
        <v>19</v>
      </c>
      <c r="G20" s="23" t="s">
        <v>20</v>
      </c>
    </row>
    <row r="21" spans="1:7" x14ac:dyDescent="0.25">
      <c r="B21" s="27">
        <v>5918</v>
      </c>
      <c r="C21" s="27">
        <f>B21*0.056</f>
        <v>331.40800000000002</v>
      </c>
      <c r="D21" s="27">
        <f>(60000*12)/365</f>
        <v>1972.6027397260275</v>
      </c>
      <c r="E21" s="27">
        <f>(B21+C21)-D21</f>
        <v>4276.8052602739726</v>
      </c>
      <c r="F21" s="27">
        <f>0.28*E21</f>
        <v>1197.5054728767125</v>
      </c>
      <c r="G21" s="27">
        <f>(B21-(F21+C21))</f>
        <v>4389.0865271232869</v>
      </c>
    </row>
    <row r="22" spans="1:7" x14ac:dyDescent="0.25">
      <c r="B22" s="27"/>
      <c r="C22" s="27"/>
      <c r="D22" s="27"/>
      <c r="E22" s="27"/>
      <c r="F22" s="27"/>
      <c r="G22" s="27"/>
    </row>
    <row r="23" spans="1:7" x14ac:dyDescent="0.25">
      <c r="B23" s="27" t="s">
        <v>21</v>
      </c>
      <c r="C23" s="27"/>
      <c r="D23" s="27"/>
      <c r="E23" s="27"/>
      <c r="F23" s="27"/>
      <c r="G23" s="27"/>
    </row>
    <row r="24" spans="1:7" x14ac:dyDescent="0.25">
      <c r="B24" s="27">
        <v>41538</v>
      </c>
      <c r="C24" s="27">
        <f>B24*0.056</f>
        <v>2326.1280000000002</v>
      </c>
      <c r="D24" s="27">
        <f>(60000*12)/52</f>
        <v>13846.153846153846</v>
      </c>
      <c r="E24" s="27">
        <f>(B24+C24)-D24</f>
        <v>30017.974153846153</v>
      </c>
      <c r="F24" s="27">
        <f>0.28*E24</f>
        <v>8405.0327630769243</v>
      </c>
      <c r="G24" s="27">
        <f>(B24-(F24+C24))</f>
        <v>30806.839236923075</v>
      </c>
    </row>
    <row r="25" spans="1:7" x14ac:dyDescent="0.25">
      <c r="B25" s="27"/>
      <c r="C25" s="27"/>
      <c r="D25" s="27"/>
      <c r="E25" s="27"/>
      <c r="F25" s="27"/>
      <c r="G25" s="27"/>
    </row>
    <row r="26" spans="1:7" x14ac:dyDescent="0.25">
      <c r="B26" s="27" t="s">
        <v>22</v>
      </c>
      <c r="C26" s="27"/>
      <c r="D26" s="27"/>
      <c r="E26" s="27"/>
      <c r="F26" s="27"/>
      <c r="G26" s="27"/>
    </row>
    <row r="27" spans="1:7" x14ac:dyDescent="0.25">
      <c r="B27" s="27">
        <v>83077</v>
      </c>
      <c r="C27" s="27">
        <f>B27*0.056</f>
        <v>4652.3119999999999</v>
      </c>
      <c r="D27" s="27">
        <f>(60000*12)/26</f>
        <v>27692.307692307691</v>
      </c>
      <c r="E27" s="27">
        <f>(B27+C27)-D27</f>
        <v>60037.004307692318</v>
      </c>
      <c r="F27" s="27">
        <f>0.28*E27</f>
        <v>16810.361206153852</v>
      </c>
      <c r="G27" s="27">
        <f>(B27-(F27+C27))</f>
        <v>61614.32679384615</v>
      </c>
    </row>
    <row r="28" spans="1:7" x14ac:dyDescent="0.25">
      <c r="B28" s="27"/>
      <c r="C28" s="27"/>
      <c r="D28" s="27"/>
      <c r="E28" s="27"/>
      <c r="F28" s="27"/>
      <c r="G28" s="27"/>
    </row>
    <row r="29" spans="1:7" x14ac:dyDescent="0.25">
      <c r="B29" s="27" t="s">
        <v>23</v>
      </c>
      <c r="C29" s="27"/>
      <c r="D29" s="27"/>
      <c r="E29" s="27"/>
      <c r="F29" s="27"/>
      <c r="G29" s="27"/>
    </row>
    <row r="30" spans="1:7" x14ac:dyDescent="0.25">
      <c r="B30" s="27">
        <v>180000</v>
      </c>
      <c r="C30" s="27">
        <f>B30*0.056</f>
        <v>10080</v>
      </c>
      <c r="D30" s="27">
        <f>(60000*12)/12</f>
        <v>60000</v>
      </c>
      <c r="E30" s="27">
        <f>(B30+C30)-D30</f>
        <v>130080</v>
      </c>
      <c r="F30" s="27">
        <f>0.28*E30</f>
        <v>36422.400000000001</v>
      </c>
      <c r="G30" s="27">
        <f>(B30-(F30+C30))</f>
        <v>133497.60000000001</v>
      </c>
    </row>
    <row r="31" spans="1:7" x14ac:dyDescent="0.25">
      <c r="B31" s="27"/>
      <c r="C31" s="27"/>
      <c r="D31" s="27"/>
      <c r="E31" s="27"/>
      <c r="F31" s="27"/>
      <c r="G31" s="27"/>
    </row>
    <row r="32" spans="1:7" x14ac:dyDescent="0.25">
      <c r="B32" s="27" t="s">
        <v>24</v>
      </c>
      <c r="C32" s="27"/>
      <c r="D32" s="27"/>
      <c r="E32" s="27"/>
      <c r="F32" s="27"/>
      <c r="G32" s="27"/>
    </row>
    <row r="33" spans="2:7" x14ac:dyDescent="0.25">
      <c r="B33" s="27">
        <v>2160000</v>
      </c>
      <c r="C33" s="27">
        <f>B33*0.056</f>
        <v>120960</v>
      </c>
      <c r="D33" s="27">
        <f>(60000*12)</f>
        <v>720000</v>
      </c>
      <c r="E33" s="27">
        <f>(B33+C33)-D33</f>
        <v>1560960</v>
      </c>
      <c r="F33" s="27">
        <f>0.28*E33</f>
        <v>437068.80000000005</v>
      </c>
      <c r="G33" s="27">
        <f>(B33-(F33+C33))</f>
        <v>1601971.2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2019-ytd_per_month-tax-Cals </vt:lpstr>
      <vt:lpstr>2019-ytd_per_fnigth-tax-Cals</vt:lpstr>
      <vt:lpstr>2019-ytd_per_weekly-tax-Cal</vt:lpstr>
      <vt:lpstr>Sheet1</vt:lpstr>
      <vt:lpstr>selfemployed</vt:lpstr>
      <vt:lpstr>Sheet2</vt:lpstr>
      <vt:lpstr>Scenario1</vt:lpstr>
      <vt:lpstr>Scenario2</vt:lpstr>
      <vt:lpstr>Sheet3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Anthony Chin</cp:lastModifiedBy>
  <dcterms:created xsi:type="dcterms:W3CDTF">2016-11-30T18:09:49Z</dcterms:created>
  <dcterms:modified xsi:type="dcterms:W3CDTF">2019-02-14T18:56:32Z</dcterms:modified>
</cp:coreProperties>
</file>